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6380" windowHeight="8130" tabRatio="500" activeTab="13"/>
  </bookViews>
  <sheets>
    <sheet name="Item1" sheetId="1" r:id="rId1"/>
    <sheet name="Item2" sheetId="2" r:id="rId2"/>
    <sheet name="Item3" sheetId="3" r:id="rId3"/>
    <sheet name="Item4" sheetId="4" r:id="rId4"/>
    <sheet name="Item5" sheetId="5" r:id="rId5"/>
    <sheet name="Item6" sheetId="6" r:id="rId6"/>
    <sheet name="Item7" sheetId="7" r:id="rId7"/>
    <sheet name="Item8" sheetId="8" r:id="rId8"/>
    <sheet name="Item9" sheetId="9" r:id="rId9"/>
    <sheet name="Item10" sheetId="10" r:id="rId10"/>
    <sheet name="Item11" sheetId="11" r:id="rId11"/>
    <sheet name="Item12" sheetId="12" r:id="rId12"/>
    <sheet name="Item13" sheetId="13" r:id="rId13"/>
    <sheet name="Item14" sheetId="14" r:id="rId14"/>
    <sheet name="TOTAL" sheetId="15" r:id="rId15"/>
    <sheet name="menores" sheetId="16" r:id="rId16"/>
  </sheets>
  <definedNames>
    <definedName name="_xlnm.Print_Area" localSheetId="15">menores!$A$1:$F$31</definedName>
    <definedName name="_xlnm.Print_Area" localSheetId="14">TOTAL!$A$1:$F$17</definedName>
    <definedName name="_xlnm.Print_Titles" localSheetId="15">menores!$2:$2</definedName>
    <definedName name="_xlnm.Print_Titles" localSheetId="14">TOTAL!$1:$2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0" i="16" l="1"/>
  <c r="E30" i="16"/>
  <c r="D30" i="16"/>
  <c r="C30" i="16"/>
  <c r="B30" i="16"/>
  <c r="F28" i="16"/>
  <c r="E28" i="16"/>
  <c r="D28" i="16"/>
  <c r="C28" i="16"/>
  <c r="B28" i="16"/>
  <c r="D26" i="16"/>
  <c r="C26" i="16"/>
  <c r="B26" i="16"/>
  <c r="F24" i="16"/>
  <c r="E24" i="16"/>
  <c r="D24" i="16"/>
  <c r="C24" i="16"/>
  <c r="B24" i="16"/>
  <c r="D22" i="16"/>
  <c r="C22" i="16"/>
  <c r="B22" i="16"/>
  <c r="F20" i="16"/>
  <c r="E20" i="16"/>
  <c r="D20" i="16"/>
  <c r="C20" i="16"/>
  <c r="B20" i="16"/>
  <c r="D18" i="16"/>
  <c r="C18" i="16"/>
  <c r="B18" i="16"/>
  <c r="F16" i="16"/>
  <c r="E16" i="16"/>
  <c r="D16" i="16"/>
  <c r="C16" i="16"/>
  <c r="B16" i="16"/>
  <c r="D14" i="16"/>
  <c r="C14" i="16"/>
  <c r="B14" i="16"/>
  <c r="D12" i="16"/>
  <c r="C12" i="16"/>
  <c r="B12" i="16"/>
  <c r="D10" i="16"/>
  <c r="C10" i="16"/>
  <c r="B10" i="16"/>
  <c r="D8" i="16"/>
  <c r="C8" i="16"/>
  <c r="B8" i="16"/>
  <c r="D6" i="16"/>
  <c r="C6" i="16"/>
  <c r="B6" i="16"/>
  <c r="D4" i="16"/>
  <c r="C4" i="16"/>
  <c r="B4" i="16"/>
  <c r="D16" i="15"/>
  <c r="C16" i="15"/>
  <c r="B16" i="15"/>
  <c r="D15" i="15"/>
  <c r="C15" i="15"/>
  <c r="B15" i="15"/>
  <c r="D14" i="15"/>
  <c r="C14" i="15"/>
  <c r="B14" i="15"/>
  <c r="D13" i="15"/>
  <c r="C13" i="15"/>
  <c r="B13" i="15"/>
  <c r="D12" i="15"/>
  <c r="C12" i="15"/>
  <c r="B12" i="15"/>
  <c r="D11" i="15"/>
  <c r="C11" i="15"/>
  <c r="B11" i="15"/>
  <c r="D10" i="15"/>
  <c r="C10" i="15"/>
  <c r="B10" i="15"/>
  <c r="D9" i="15"/>
  <c r="C9" i="15"/>
  <c r="B9" i="15"/>
  <c r="D8" i="15"/>
  <c r="C8" i="15"/>
  <c r="B8" i="15"/>
  <c r="D7" i="15"/>
  <c r="C7" i="15"/>
  <c r="B7" i="15"/>
  <c r="D6" i="15"/>
  <c r="C6" i="15"/>
  <c r="B6" i="15"/>
  <c r="D5" i="15"/>
  <c r="C5" i="15"/>
  <c r="B5" i="15"/>
  <c r="D4" i="15"/>
  <c r="C4" i="15"/>
  <c r="B4" i="15"/>
  <c r="D3" i="15"/>
  <c r="C3" i="15"/>
  <c r="B3" i="15"/>
  <c r="C1" i="15"/>
  <c r="H20" i="14"/>
  <c r="G20" i="14" s="1"/>
  <c r="B29" i="16" s="1"/>
  <c r="F20" i="14"/>
  <c r="D20" i="14"/>
  <c r="B20" i="14"/>
  <c r="I17" i="14"/>
  <c r="I16" i="14"/>
  <c r="I15" i="14"/>
  <c r="I14" i="14"/>
  <c r="I13" i="14"/>
  <c r="H12" i="14"/>
  <c r="H11" i="14"/>
  <c r="H10" i="14"/>
  <c r="H3" i="14"/>
  <c r="F3" i="14"/>
  <c r="H20" i="13"/>
  <c r="G20" i="13"/>
  <c r="B27" i="16" s="1"/>
  <c r="F20" i="13"/>
  <c r="D20" i="13"/>
  <c r="B20" i="13"/>
  <c r="A20" i="13"/>
  <c r="C20" i="13" s="1"/>
  <c r="I17" i="13"/>
  <c r="I16" i="13"/>
  <c r="I15" i="13"/>
  <c r="I14" i="13"/>
  <c r="I13" i="13"/>
  <c r="I12" i="13"/>
  <c r="I11" i="13"/>
  <c r="I10" i="13"/>
  <c r="I9" i="13"/>
  <c r="I8" i="13"/>
  <c r="I7" i="13"/>
  <c r="I6" i="13"/>
  <c r="F3" i="13"/>
  <c r="H20" i="12"/>
  <c r="G20" i="12"/>
  <c r="B25" i="16" s="1"/>
  <c r="F20" i="12"/>
  <c r="D20" i="12"/>
  <c r="B20" i="12"/>
  <c r="A20" i="12"/>
  <c r="C20" i="12" s="1"/>
  <c r="I17" i="12"/>
  <c r="I16" i="12"/>
  <c r="I15" i="12"/>
  <c r="I14" i="12"/>
  <c r="I13" i="12"/>
  <c r="I12" i="12"/>
  <c r="I11" i="12"/>
  <c r="I10" i="12"/>
  <c r="I9" i="12"/>
  <c r="I8" i="12"/>
  <c r="I7" i="12"/>
  <c r="F3" i="12"/>
  <c r="E26" i="16" s="1"/>
  <c r="F26" i="16" s="1"/>
  <c r="H20" i="11"/>
  <c r="G20" i="11" s="1"/>
  <c r="B23" i="16" s="1"/>
  <c r="F20" i="11"/>
  <c r="D20" i="11"/>
  <c r="B20" i="11"/>
  <c r="I17" i="11"/>
  <c r="I16" i="11"/>
  <c r="I15" i="11"/>
  <c r="I14" i="11"/>
  <c r="I13" i="11"/>
  <c r="I12" i="11"/>
  <c r="I11" i="11"/>
  <c r="I10" i="11"/>
  <c r="I9" i="11"/>
  <c r="I8" i="11"/>
  <c r="I7" i="11"/>
  <c r="I6" i="11"/>
  <c r="F3" i="11"/>
  <c r="H20" i="10"/>
  <c r="G20" i="10"/>
  <c r="B21" i="16" s="1"/>
  <c r="F20" i="10"/>
  <c r="D20" i="10"/>
  <c r="B20" i="10"/>
  <c r="A20" i="10"/>
  <c r="C20" i="10" s="1"/>
  <c r="I17" i="10"/>
  <c r="I16" i="10"/>
  <c r="I15" i="10"/>
  <c r="I14" i="10"/>
  <c r="I13" i="10"/>
  <c r="I12" i="10"/>
  <c r="I11" i="10"/>
  <c r="I10" i="10"/>
  <c r="I9" i="10"/>
  <c r="F3" i="10"/>
  <c r="E22" i="16" s="1"/>
  <c r="F22" i="16" s="1"/>
  <c r="H20" i="9"/>
  <c r="G20" i="9" s="1"/>
  <c r="B19" i="16" s="1"/>
  <c r="F20" i="9"/>
  <c r="D20" i="9"/>
  <c r="B20" i="9"/>
  <c r="I17" i="9"/>
  <c r="I16" i="9"/>
  <c r="I15" i="9"/>
  <c r="I14" i="9"/>
  <c r="I13" i="9"/>
  <c r="I12" i="9"/>
  <c r="I11" i="9"/>
  <c r="I10" i="9"/>
  <c r="I9" i="9"/>
  <c r="I8" i="9"/>
  <c r="I7" i="9"/>
  <c r="F3" i="9"/>
  <c r="H20" i="8"/>
  <c r="G20" i="8"/>
  <c r="B17" i="16" s="1"/>
  <c r="F20" i="8"/>
  <c r="D20" i="8"/>
  <c r="B20" i="8"/>
  <c r="A20" i="8"/>
  <c r="C20" i="8" s="1"/>
  <c r="I17" i="8"/>
  <c r="I16" i="8"/>
  <c r="I15" i="8"/>
  <c r="I14" i="8"/>
  <c r="I13" i="8"/>
  <c r="I12" i="8"/>
  <c r="I11" i="8"/>
  <c r="I10" i="8"/>
  <c r="I9" i="8"/>
  <c r="I8" i="8"/>
  <c r="I7" i="8"/>
  <c r="F3" i="8"/>
  <c r="E18" i="16" s="1"/>
  <c r="F18" i="16" s="1"/>
  <c r="H20" i="7"/>
  <c r="G20" i="7" s="1"/>
  <c r="B15" i="16" s="1"/>
  <c r="F20" i="7"/>
  <c r="D20" i="7"/>
  <c r="B20" i="7"/>
  <c r="I17" i="7"/>
  <c r="I16" i="7"/>
  <c r="I15" i="7"/>
  <c r="I14" i="7"/>
  <c r="I13" i="7"/>
  <c r="I12" i="7"/>
  <c r="I11" i="7"/>
  <c r="I10" i="7"/>
  <c r="F3" i="7"/>
  <c r="H20" i="6"/>
  <c r="G20" i="6"/>
  <c r="B13" i="16" s="1"/>
  <c r="F20" i="6"/>
  <c r="D20" i="6"/>
  <c r="B20" i="6"/>
  <c r="A20" i="6"/>
  <c r="C20" i="6" s="1"/>
  <c r="I17" i="6"/>
  <c r="I16" i="6"/>
  <c r="I15" i="6"/>
  <c r="I14" i="6"/>
  <c r="I13" i="6"/>
  <c r="I12" i="6"/>
  <c r="I11" i="6"/>
  <c r="F3" i="6"/>
  <c r="E14" i="16" s="1"/>
  <c r="F14" i="16" s="1"/>
  <c r="I17" i="5"/>
  <c r="I16" i="5"/>
  <c r="I15" i="5"/>
  <c r="I14" i="5"/>
  <c r="I13" i="5"/>
  <c r="H12" i="5"/>
  <c r="H11" i="5"/>
  <c r="H10" i="5"/>
  <c r="H3" i="5"/>
  <c r="H20" i="4"/>
  <c r="G20" i="4"/>
  <c r="B9" i="16" s="1"/>
  <c r="F20" i="4"/>
  <c r="D20" i="4"/>
  <c r="B20" i="4"/>
  <c r="A20" i="4"/>
  <c r="C20" i="4" s="1"/>
  <c r="I17" i="4"/>
  <c r="I16" i="4"/>
  <c r="I15" i="4"/>
  <c r="I14" i="4"/>
  <c r="I13" i="4"/>
  <c r="I12" i="4"/>
  <c r="I11" i="4"/>
  <c r="I10" i="4"/>
  <c r="I9" i="4"/>
  <c r="I8" i="4"/>
  <c r="I7" i="4"/>
  <c r="F3" i="4"/>
  <c r="E10" i="16" s="1"/>
  <c r="F10" i="16" s="1"/>
  <c r="H20" i="3"/>
  <c r="G20" i="3" s="1"/>
  <c r="B7" i="16" s="1"/>
  <c r="F20" i="3"/>
  <c r="D20" i="3"/>
  <c r="B20" i="3"/>
  <c r="I17" i="3"/>
  <c r="I16" i="3"/>
  <c r="I15" i="3"/>
  <c r="I14" i="3"/>
  <c r="I13" i="3"/>
  <c r="I12" i="3"/>
  <c r="I11" i="3"/>
  <c r="I10" i="3"/>
  <c r="I9" i="3"/>
  <c r="F3" i="3"/>
  <c r="E8" i="16" s="1"/>
  <c r="F8" i="16" s="1"/>
  <c r="H20" i="2"/>
  <c r="G20" i="2"/>
  <c r="B5" i="16" s="1"/>
  <c r="F20" i="2"/>
  <c r="D20" i="2"/>
  <c r="B20" i="2"/>
  <c r="A20" i="2"/>
  <c r="C20" i="2" s="1"/>
  <c r="F3" i="2"/>
  <c r="E6" i="16" s="1"/>
  <c r="F6" i="16" s="1"/>
  <c r="H20" i="1"/>
  <c r="G20" i="1" s="1"/>
  <c r="B3" i="16" s="1"/>
  <c r="F20" i="1"/>
  <c r="D20" i="1"/>
  <c r="B20" i="1"/>
  <c r="I17" i="1"/>
  <c r="I16" i="1"/>
  <c r="I15" i="1"/>
  <c r="I14" i="1"/>
  <c r="I13" i="1"/>
  <c r="F3" i="1"/>
  <c r="E4" i="16" s="1"/>
  <c r="F4" i="16" s="1"/>
  <c r="H22" i="6" l="1"/>
  <c r="H23" i="6" s="1"/>
  <c r="I9" i="6"/>
  <c r="I7" i="6"/>
  <c r="I5" i="6"/>
  <c r="I3" i="6"/>
  <c r="E3" i="6"/>
  <c r="E8" i="15" s="1"/>
  <c r="F8" i="15" s="1"/>
  <c r="I8" i="6"/>
  <c r="I4" i="6"/>
  <c r="E20" i="6"/>
  <c r="I10" i="6"/>
  <c r="I6" i="6"/>
  <c r="I17" i="2"/>
  <c r="I15" i="2"/>
  <c r="I13" i="2"/>
  <c r="I11" i="2"/>
  <c r="I9" i="2"/>
  <c r="I7" i="2"/>
  <c r="I5" i="2"/>
  <c r="I3" i="2"/>
  <c r="E3" i="2"/>
  <c r="E4" i="15" s="1"/>
  <c r="F4" i="15" s="1"/>
  <c r="H22" i="2"/>
  <c r="H23" i="2" s="1"/>
  <c r="E20" i="2"/>
  <c r="I14" i="2"/>
  <c r="I10" i="2"/>
  <c r="I6" i="2"/>
  <c r="I16" i="2"/>
  <c r="I12" i="2"/>
  <c r="I8" i="2"/>
  <c r="I4" i="2"/>
  <c r="I5" i="4"/>
  <c r="I3" i="4"/>
  <c r="E3" i="4"/>
  <c r="E6" i="15" s="1"/>
  <c r="F6" i="15" s="1"/>
  <c r="H22" i="4"/>
  <c r="H23" i="4" s="1"/>
  <c r="E20" i="4"/>
  <c r="I6" i="4"/>
  <c r="I4" i="4"/>
  <c r="C20" i="3"/>
  <c r="A20" i="3"/>
  <c r="D20" i="5"/>
  <c r="H20" i="5"/>
  <c r="G20" i="5" s="1"/>
  <c r="B11" i="16" s="1"/>
  <c r="I6" i="12"/>
  <c r="I4" i="12"/>
  <c r="I5" i="12"/>
  <c r="I3" i="12"/>
  <c r="E20" i="12" s="1"/>
  <c r="A20" i="1"/>
  <c r="C20" i="1" s="1"/>
  <c r="F3" i="5"/>
  <c r="E12" i="16" s="1"/>
  <c r="F12" i="16" s="1"/>
  <c r="F31" i="16" s="1"/>
  <c r="B20" i="5"/>
  <c r="F20" i="5"/>
  <c r="I6" i="8"/>
  <c r="I4" i="8"/>
  <c r="I5" i="8"/>
  <c r="I3" i="8"/>
  <c r="E20" i="8" s="1"/>
  <c r="I8" i="10"/>
  <c r="I6" i="10"/>
  <c r="I4" i="10"/>
  <c r="I7" i="10"/>
  <c r="I5" i="10"/>
  <c r="I3" i="10"/>
  <c r="E20" i="10" s="1"/>
  <c r="I5" i="13"/>
  <c r="I3" i="13"/>
  <c r="E20" i="13"/>
  <c r="H22" i="13" s="1"/>
  <c r="H23" i="13" s="1"/>
  <c r="I4" i="13"/>
  <c r="A20" i="7"/>
  <c r="C20" i="7"/>
  <c r="A20" i="9"/>
  <c r="C20" i="9"/>
  <c r="A20" i="11"/>
  <c r="C20" i="11"/>
  <c r="A20" i="14"/>
  <c r="C20" i="14"/>
  <c r="H22" i="10" l="1"/>
  <c r="H23" i="10" s="1"/>
  <c r="E3" i="10"/>
  <c r="E12" i="15" s="1"/>
  <c r="F12" i="15" s="1"/>
  <c r="H22" i="12"/>
  <c r="H23" i="12" s="1"/>
  <c r="E3" i="12"/>
  <c r="E14" i="15" s="1"/>
  <c r="F14" i="15" s="1"/>
  <c r="H22" i="8"/>
  <c r="H23" i="8" s="1"/>
  <c r="E3" i="8"/>
  <c r="E10" i="15" s="1"/>
  <c r="F10" i="15" s="1"/>
  <c r="H22" i="1"/>
  <c r="H23" i="1" s="1"/>
  <c r="I12" i="1"/>
  <c r="I10" i="1"/>
  <c r="I8" i="1"/>
  <c r="I6" i="1"/>
  <c r="I4" i="1"/>
  <c r="I11" i="1"/>
  <c r="I9" i="1"/>
  <c r="I7" i="1"/>
  <c r="I5" i="1"/>
  <c r="I3" i="1"/>
  <c r="E3" i="1"/>
  <c r="E3" i="15" s="1"/>
  <c r="F3" i="15" s="1"/>
  <c r="E20" i="1"/>
  <c r="H22" i="14"/>
  <c r="H23" i="14" s="1"/>
  <c r="I12" i="14"/>
  <c r="I11" i="14"/>
  <c r="I10" i="14"/>
  <c r="I9" i="14"/>
  <c r="I7" i="14"/>
  <c r="I5" i="14"/>
  <c r="I3" i="14"/>
  <c r="I8" i="14"/>
  <c r="I6" i="14"/>
  <c r="I4" i="14"/>
  <c r="E3" i="14"/>
  <c r="E16" i="15" s="1"/>
  <c r="F16" i="15" s="1"/>
  <c r="I5" i="11"/>
  <c r="I3" i="11"/>
  <c r="I4" i="11"/>
  <c r="I5" i="9"/>
  <c r="I3" i="9"/>
  <c r="I6" i="9"/>
  <c r="I4" i="9"/>
  <c r="I9" i="7"/>
  <c r="I7" i="7"/>
  <c r="I5" i="7"/>
  <c r="I3" i="7"/>
  <c r="I8" i="7"/>
  <c r="I6" i="7"/>
  <c r="I4" i="7"/>
  <c r="E20" i="14"/>
  <c r="E3" i="13"/>
  <c r="E15" i="15" s="1"/>
  <c r="F15" i="15" s="1"/>
  <c r="E20" i="9"/>
  <c r="E3" i="9" s="1"/>
  <c r="E11" i="15" s="1"/>
  <c r="F11" i="15" s="1"/>
  <c r="E20" i="7"/>
  <c r="E3" i="7" s="1"/>
  <c r="E9" i="15" s="1"/>
  <c r="F9" i="15" s="1"/>
  <c r="A20" i="5"/>
  <c r="C20" i="5" s="1"/>
  <c r="I8" i="3"/>
  <c r="I6" i="3"/>
  <c r="I4" i="3"/>
  <c r="I5" i="3"/>
  <c r="I7" i="3"/>
  <c r="I3" i="3"/>
  <c r="E20" i="11"/>
  <c r="H22" i="11" s="1"/>
  <c r="H23" i="11" s="1"/>
  <c r="E20" i="3"/>
  <c r="H22" i="3" s="1"/>
  <c r="H23" i="3" s="1"/>
  <c r="H22" i="5" l="1"/>
  <c r="H23" i="5" s="1"/>
  <c r="I9" i="5"/>
  <c r="I7" i="5"/>
  <c r="I5" i="5"/>
  <c r="I6" i="5"/>
  <c r="I8" i="5"/>
  <c r="I4" i="5"/>
  <c r="E3" i="5"/>
  <c r="E7" i="15" s="1"/>
  <c r="F7" i="15" s="1"/>
  <c r="I12" i="5"/>
  <c r="I11" i="5"/>
  <c r="I3" i="5"/>
  <c r="I10" i="5"/>
  <c r="E20" i="5"/>
  <c r="H22" i="7"/>
  <c r="H23" i="7" s="1"/>
  <c r="H22" i="9"/>
  <c r="H23" i="9" s="1"/>
  <c r="E3" i="11"/>
  <c r="E13" i="15" s="1"/>
  <c r="F13" i="15" s="1"/>
  <c r="F17" i="15"/>
  <c r="E3" i="3"/>
  <c r="E5" i="15" s="1"/>
  <c r="F5" i="15" s="1"/>
</calcChain>
</file>

<file path=xl/sharedStrings.xml><?xml version="1.0" encoding="utf-8"?>
<sst xmlns="http://schemas.openxmlformats.org/spreadsheetml/2006/main" count="516" uniqueCount="128">
  <si>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</si>
  <si>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</si>
  <si>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</si>
  <si>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</si>
  <si>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</si>
  <si>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</si>
  <si>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</si>
  <si>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</si>
  <si>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</si>
  <si>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</si>
  <si>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Açúcar branco granulado, 
Derivado da cana-de-açúcar, 
Embalagem de 1 kg, 
Com impressão do nome do fabricante, registro no Ministério da Saúde e validade do produto não inferior a 11 meses, contados da data do recebimento definitivo.
Acondicionados em sacos com 25 ou 30 pacotes</t>
  </si>
  <si>
    <t>quilograma</t>
  </si>
  <si>
    <t>COMAPE - COMERCIO DE ALIMENTOS DE PERNAMBUCO LTDA</t>
  </si>
  <si>
    <t>W M S EMPREENDIMENTOS SERVICOS EIRELI</t>
  </si>
  <si>
    <t>GILVAN SILVA DOS SANTOS PRODUTOS ALIMENTICIOS</t>
  </si>
  <si>
    <t>BAHIA CESTAS LTDA</t>
  </si>
  <si>
    <t>SAMIR CAVALCANTE AUR</t>
  </si>
  <si>
    <t>SANTOS SILVA COMERCIAL EIRELI</t>
  </si>
  <si>
    <t>SILNEI LEOCADIO</t>
  </si>
  <si>
    <t>LINHA FORTE</t>
  </si>
  <si>
    <t>OCEANO B2B</t>
  </si>
  <si>
    <t>PÃO DE AÇÚCAR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</si>
  <si>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</si>
  <si>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</si>
  <si>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</si>
  <si>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</si>
  <si>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</si>
  <si>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</si>
  <si>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</si>
  <si>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</si>
  <si>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</si>
  <si>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</si>
  <si>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</si>
  <si>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</si>
  <si>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</si>
  <si>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</si>
  <si>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</si>
  <si>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</si>
  <si>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</si>
  <si>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>Leite em pó, 
Integral, 
Granulado, 
Derivado da vaca, 
Lata com 400g, 
Com impressão do nome do fabricante, registro no Ministério da Agricultura e validade do produto não inferior a 9 meses, contados da data do recebimento definitivo.
Acondicionados em caixas com até 24 unidades</t>
  </si>
  <si>
    <t>lata</t>
  </si>
  <si>
    <t>E DE N LOPES RAMOS COM. DE ALIMENTOS EIRELI</t>
  </si>
  <si>
    <t>TIBAGI LICITACOES EIRELI</t>
  </si>
  <si>
    <t>JH GONCALVES COMERCIO DE ALIMENTOS LTDA</t>
  </si>
  <si>
    <t>LINDRACI MENDES DAMACENA</t>
  </si>
  <si>
    <t>COMERCIAL BORA EIRELI</t>
  </si>
  <si>
    <t>NARA COMERCIAL DE ALIMENTOS LTDA</t>
  </si>
  <si>
    <t>AMORIM COMERCIO DE ALIMENTOS E SERVICOS DE MANUTENCAO EIRELI</t>
  </si>
  <si>
    <t>ZAQUEU COMERCIO VAREJISTA E ATACADISTA DE GENEROS ALIMENTICIOS EIRELI</t>
  </si>
  <si>
    <t>CORDIAL DISTRIBUIDORA DE ALIMENTOS EIRELI</t>
  </si>
  <si>
    <t>L. M. COMERCIO DE PRODUTOS ALIMENTICIOS LTDA</t>
  </si>
  <si>
    <t>MANA COMERCIO DE ALIMENTOS LTDA</t>
  </si>
  <si>
    <t>MAGAZINE LUIZA</t>
  </si>
  <si>
    <t>PAGUE MENOS</t>
  </si>
  <si>
    <t>SHOPTIME</t>
  </si>
  <si>
    <t>ITEM 3</t>
  </si>
  <si>
    <t>Leite em pó, Desnatado, Granulado, Derivado da vaca, Lata com 300g, Com impressão do nome do fabricante, registro no Ministério da Agricultura e validade do produto não inferior a 9 meses, contados da data do recebimento definitivo.
Acondicionados em caixas com até 24 unidades.</t>
  </si>
  <si>
    <t>COOPERATIVA DE LATICINIOS SELITA</t>
  </si>
  <si>
    <t>GIOMEN COMERCIO DE ALIMENTOS LTDA</t>
  </si>
  <si>
    <t>F L DE OLIVEIRA EIRELI</t>
  </si>
  <si>
    <t>CARREFOUR</t>
  </si>
  <si>
    <t>JETFARMA</t>
  </si>
  <si>
    <t>ITEM 4</t>
  </si>
  <si>
    <t>Adoçante Líquido Dietético, 
À base de aspartame, 
Em embalagem plástica com 65 ml, 
Com impressão do nome do fabricante, registro no Ministério da Saúde e validade do produto não inferior a 11 meses, contados da data do recebimento definitivo.
Acondicionados em caixas com até 30 unidades.</t>
  </si>
  <si>
    <t>frasco</t>
  </si>
  <si>
    <t>DROGARIA NET</t>
  </si>
  <si>
    <t>FARMACIA INDIANA</t>
  </si>
  <si>
    <t>ULTRAFARMA</t>
  </si>
  <si>
    <t>ITEM 5</t>
  </si>
  <si>
    <t>Água mineral 
Acondicionada em copos de 200ml. 
Com impressão do nome do fabricante, registro no Ministério da Saúde e validade do produto não inferior a 4 meses, contados da data do recebimento definitivo. 
Embalagem: caixa contendo 48 copos.</t>
  </si>
  <si>
    <t>unidade</t>
  </si>
  <si>
    <t>MAX LEAL SOLANO CAVALCANTE</t>
  </si>
  <si>
    <t>THAMARA MICAELLE DE SOUZA DOS SANTOS EIRELI</t>
  </si>
  <si>
    <t>COMERCIAL RIO ANIL EIRELI</t>
  </si>
  <si>
    <t>ROBEVALDO ALVES LIMA</t>
  </si>
  <si>
    <t>A &amp; C DISTRIBUIDORA DE ALIMENTOS EIRELI</t>
  </si>
  <si>
    <t>F C F DA SILVA</t>
  </si>
  <si>
    <t>NUTRISABOR COMERCIO DE ALIMENTOS EIRELI</t>
  </si>
  <si>
    <t>AMERICANAS</t>
  </si>
  <si>
    <t>MAXX BEBIDAS</t>
  </si>
  <si>
    <t>ITEM 6</t>
  </si>
  <si>
    <t>Água mineral 
Sem gás, 
Acondicionada em garrafão plástico transparente, de 20 litros (só o líquido), 
Com impressão do nome do fabricante, registro no Ministério da Saúde e validade do produto não inferior a 03 meses, contados da data do recebimento definitivo.
Fornecimento em vasilhames com máximo de 8 meses de fabricação.</t>
  </si>
  <si>
    <t>garrafão</t>
  </si>
  <si>
    <t>COBEL - COMERCIO DE BEBIDAS EIRELI</t>
  </si>
  <si>
    <t>A S DE LIMA COMERCIO</t>
  </si>
  <si>
    <t>OLLIVER DISTRIBUIDORA DE GENEROS ALIMENTICIOS, MATERIAIS DE LIMPEZA E ESCRITORIO</t>
  </si>
  <si>
    <t>ROBSON DA SILVA ANDRADE COMERCIO E SERVICO EIRELI</t>
  </si>
  <si>
    <t>MARIA DO SOCORRO SANTOS BASILIO</t>
  </si>
  <si>
    <t>SANDRA CRISTHYAN PEREIRA LIMA</t>
  </si>
  <si>
    <t>PETROGAS LOGISTICA COMERCIAL GLP EIRELI</t>
  </si>
  <si>
    <t>REAL MIX COMERCIO VAREJISTA LTDA</t>
  </si>
  <si>
    <t>ITEM 7</t>
  </si>
  <si>
    <t>Polpa de acerola 
Embalagem plástica com 100g, 
Com impressão do nome do fabricante, registro no Ministério da Saúde e validade do produto não inferior a 3 meses, contados da data do recebimento definitivo.
Acondicionadas em embalagens com até 30 unidades</t>
  </si>
  <si>
    <t>LUCIANA C. R. POTON - LARA FRUT POLPAS DE FRUTA</t>
  </si>
  <si>
    <t>MAQUEA &amp; MAQUEA LTDA</t>
  </si>
  <si>
    <t>ALPHAMERCADO</t>
  </si>
  <si>
    <t>GUEDES SUPERMERCADO</t>
  </si>
  <si>
    <t>HIPERIDEAL</t>
  </si>
  <si>
    <t>NO LAR SUPERMERCADO</t>
  </si>
  <si>
    <t>ITEM 8</t>
  </si>
  <si>
    <t>Polpa de cajá 
Embalagem plástica com 100g, 
Com impressão do nome do fabricante, registro no Ministério da Saúde e validade do produto não inferior a 3 meses, contados da data do recebimento definitivo.
Acondicionadas em embalagens com até 30 unidades</t>
  </si>
  <si>
    <t>PATIO GOURMET</t>
  </si>
  <si>
    <t>VIPFÁCIL</t>
  </si>
  <si>
    <t>ITEM 9</t>
  </si>
  <si>
    <t>Polpa de goiaba 
Embalagem plástica com 100g, 
Com impressão do nome do fabricante, registro no Ministério da Saúde e validade do produto não inferior a 3 meses, contados da data do recebimento definitivo.
Acondicionadas em embalagens com até 30 unidades</t>
  </si>
  <si>
    <t>EASY MINI MERCADO</t>
  </si>
  <si>
    <t>ITEM 10</t>
  </si>
  <si>
    <t>Polpa de manga 
Embalagem plástica com 100g, 
Com impressão do nome do fabricante, registro no Ministério da Saúde e validade do produto não inferior a 3 meses, contados da data do recebimento definitivo.
Acondicionadas em embalagens com até 30 unidades</t>
  </si>
  <si>
    <t>M S ZOPELARI DISTRIBUIDORA DE ALIMENTOS EIRELI</t>
  </si>
  <si>
    <t>ELO COMERCIO E SERVICOS EIRELI</t>
  </si>
  <si>
    <t>ITEM 11</t>
  </si>
  <si>
    <t>Polpa de maracujá 
Embalagem plástica com 100g, 
Com impressão do nome do fabricante, registro no Ministério da Saúde e validade do produto não inferior a 3 meses, contados da data do recebimento definitivo.
Acondicionadas em embalagens com até 30 unidades</t>
  </si>
  <si>
    <t>ITEM 12</t>
  </si>
  <si>
    <t>Polpa de morango 
Embalagem plástica com 100g, 
Com impressão do nome do fabricante, registro no Ministério da Saúde e validade do produto não inferior a 3 meses, contados da data do recebimento definitivo.
Acondicionadas em embalagens com até 30 unidades</t>
  </si>
  <si>
    <t>ITEM 13</t>
  </si>
  <si>
    <t>Polpa de cacau 
Embalagem plástica com 100g, 
Com impressão do nome do fabricante, registro no Ministério da Saúde e validade do produto não inferior a 3 meses, contados da data do recebimento definitivo.
Acondicionadas em embalagens com até 30 unidades</t>
  </si>
  <si>
    <t>ITEM 14</t>
  </si>
  <si>
    <t>RESULTADO DA ESTIMATIVA em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</si>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</sst>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R$-416]\ #,##0.00;[Red]\-[$R$-416]\ #,##0.00"/>
    <numFmt numFmtId="165" formatCode="d/m/yyyy"/>
    <numFmt numFmtId="166" formatCode="_-&quot;R$ &quot;* #,##0.00_-;&quot;-R$ &quot;* #,##0.00_-;_-&quot;R$ &quot;* \-??_-;_-@_-"/>
  </numFmts>
  <fonts count="18" x14ac:knownFonts="1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10"/>
      <name val="Arial"/>
      <charset val="1"/>
    </font>
    <font>
      <b/>
      <sz val="13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1">
    <xf numFmtId="0" fontId="0" fillId="0" borderId="0"/>
    <xf numFmtId="166" fontId="16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59">
    <xf numFmtId="0" fontId="0" fillId="0" borderId="0" xfId="0"/>
    <xf numFmtId="0" fontId="17" fillId="9" borderId="2" xfId="0" applyFont="1" applyFill="1" applyBorder="1" applyAlignment="1">
      <alignment horizontal="left" vertical="center" wrapText="1"/>
    </xf>
    <xf numFmtId="0" fontId="11" fillId="9" borderId="2" xfId="0" applyFont="1" applyFill="1" applyBorder="1" applyAlignment="1">
      <alignment horizontal="center" wrapText="1"/>
    </xf>
    <xf numFmtId="0" fontId="11" fillId="9" borderId="2" xfId="0" applyFont="1" applyFill="1" applyBorder="1" applyAlignment="1">
      <alignment horizontal="right" wrapText="1"/>
    </xf>
    <xf numFmtId="0" fontId="10" fillId="10" borderId="2" xfId="0" applyFont="1" applyFill="1" applyBorder="1" applyAlignment="1" applyProtection="1">
      <alignment wrapText="1"/>
    </xf>
    <xf numFmtId="0" fontId="10" fillId="10" borderId="6" xfId="0" applyFont="1" applyFill="1" applyBorder="1" applyAlignment="1" applyProtection="1">
      <alignment wrapText="1"/>
    </xf>
    <xf numFmtId="0" fontId="12" fillId="0" borderId="0" xfId="0" applyFont="1" applyBorder="1" applyAlignment="1" applyProtection="1">
      <alignment horizontal="center"/>
      <protection locked="0"/>
    </xf>
    <xf numFmtId="0" fontId="12" fillId="10" borderId="2" xfId="0" applyFont="1" applyFill="1" applyBorder="1" applyAlignment="1" applyProtection="1">
      <alignment horizontal="center" vertical="center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1" fillId="9" borderId="2" xfId="0" applyFont="1" applyFill="1" applyBorder="1" applyAlignment="1" applyProtection="1">
      <alignment horizontal="center"/>
    </xf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165" fontId="11" fillId="9" borderId="2" xfId="0" applyNumberFormat="1" applyFont="1" applyFill="1" applyBorder="1" applyAlignment="1">
      <alignment horizontal="center" wrapText="1"/>
    </xf>
    <xf numFmtId="0" fontId="11" fillId="9" borderId="2" xfId="0" applyFont="1" applyFill="1" applyBorder="1" applyAlignment="1">
      <alignment horizontal="center" wrapText="1"/>
    </xf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6" fontId="10" fillId="10" borderId="2" xfId="1" applyFont="1" applyFill="1" applyBorder="1" applyAlignment="1" applyProtection="1">
      <alignment vertical="center" wrapText="1"/>
    </xf>
    <xf numFmtId="0" fontId="11" fillId="0" borderId="4" xfId="0" applyFont="1" applyBorder="1" applyAlignment="1">
      <alignment wrapText="1"/>
    </xf>
    <xf numFmtId="166" fontId="11" fillId="9" borderId="2" xfId="0" applyNumberFormat="1" applyFont="1" applyFill="1" applyBorder="1" applyAlignment="1">
      <alignment wrapText="1"/>
    </xf>
    <xf numFmtId="0" fontId="10" fillId="0" borderId="0" xfId="0" applyFont="1" applyAlignment="1">
      <alignment horizontal="center" wrapText="1"/>
    </xf>
    <xf numFmtId="0" fontId="12" fillId="9" borderId="2" xfId="0" applyFont="1" applyFill="1" applyBorder="1" applyAlignment="1">
      <alignment horizontal="center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F31" sqref="F31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1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10</v>
      </c>
      <c r="C3" s="10" t="s">
        <v>11</v>
      </c>
      <c r="D3" s="9">
        <v>8000</v>
      </c>
      <c r="E3" s="8">
        <f>IF(C20&lt;=25%,D20,MIN(E20:F20))</f>
        <v>2.85</v>
      </c>
      <c r="F3" s="8">
        <f>MIN(H3:H17)</f>
        <v>2.1</v>
      </c>
      <c r="G3" s="19" t="s">
        <v>12</v>
      </c>
      <c r="H3" s="20">
        <v>2.1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13</v>
      </c>
      <c r="H4" s="20">
        <v>2.2999999999999998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14</v>
      </c>
      <c r="H5" s="20">
        <v>2.38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15</v>
      </c>
      <c r="H6" s="20">
        <v>2.75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 t="s">
        <v>16</v>
      </c>
      <c r="H7" s="20">
        <v>2.85</v>
      </c>
      <c r="I7" s="21" t="str">
        <f t="shared" si="0"/>
        <v>N/A</v>
      </c>
    </row>
    <row r="8" spans="1:9" x14ac:dyDescent="0.2">
      <c r="A8" s="12"/>
      <c r="B8" s="11"/>
      <c r="C8" s="10"/>
      <c r="D8" s="9"/>
      <c r="E8" s="8"/>
      <c r="F8" s="8"/>
      <c r="G8" s="19" t="s">
        <v>17</v>
      </c>
      <c r="H8" s="20">
        <v>2.95</v>
      </c>
      <c r="I8" s="21" t="str">
        <f t="shared" si="0"/>
        <v>N/A</v>
      </c>
    </row>
    <row r="9" spans="1:9" x14ac:dyDescent="0.2">
      <c r="A9" s="12"/>
      <c r="B9" s="11"/>
      <c r="C9" s="10"/>
      <c r="D9" s="9"/>
      <c r="E9" s="8"/>
      <c r="F9" s="8"/>
      <c r="G9" s="19" t="s">
        <v>18</v>
      </c>
      <c r="H9" s="20">
        <v>2.97</v>
      </c>
      <c r="I9" s="21" t="str">
        <f t="shared" si="0"/>
        <v>N/A</v>
      </c>
    </row>
    <row r="10" spans="1:9" x14ac:dyDescent="0.2">
      <c r="A10" s="12"/>
      <c r="B10" s="11"/>
      <c r="C10" s="10"/>
      <c r="D10" s="9"/>
      <c r="E10" s="8"/>
      <c r="F10" s="8"/>
      <c r="G10" s="19" t="s">
        <v>19</v>
      </c>
      <c r="H10" s="20">
        <v>3.75</v>
      </c>
      <c r="I10" s="21" t="str">
        <f t="shared" si="0"/>
        <v>N/A</v>
      </c>
    </row>
    <row r="11" spans="1:9" x14ac:dyDescent="0.2">
      <c r="A11" s="12"/>
      <c r="B11" s="11"/>
      <c r="C11" s="10"/>
      <c r="D11" s="9"/>
      <c r="E11" s="8"/>
      <c r="F11" s="8"/>
      <c r="G11" s="19" t="s">
        <v>20</v>
      </c>
      <c r="H11" s="20">
        <v>3.29</v>
      </c>
      <c r="I11" s="21" t="str">
        <f t="shared" si="0"/>
        <v>N/A</v>
      </c>
    </row>
    <row r="12" spans="1:9" x14ac:dyDescent="0.2">
      <c r="A12" s="12"/>
      <c r="B12" s="11"/>
      <c r="C12" s="10"/>
      <c r="D12" s="9"/>
      <c r="E12" s="8"/>
      <c r="F12" s="8"/>
      <c r="G12" s="19" t="s">
        <v>21</v>
      </c>
      <c r="H12" s="20">
        <v>3.19</v>
      </c>
      <c r="I12" s="21" t="str">
        <f t="shared" si="0"/>
        <v>N/A</v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22</v>
      </c>
      <c r="B19" s="18" t="s">
        <v>23</v>
      </c>
      <c r="C19" s="17" t="s">
        <v>24</v>
      </c>
      <c r="D19" s="29" t="s">
        <v>25</v>
      </c>
      <c r="E19" s="30" t="s">
        <v>26</v>
      </c>
      <c r="F19" s="29" t="s">
        <v>27</v>
      </c>
      <c r="G19" s="7" t="s">
        <v>28</v>
      </c>
      <c r="H19" s="7"/>
      <c r="I19" s="31"/>
    </row>
    <row r="20" spans="1:11" x14ac:dyDescent="0.2">
      <c r="A20" s="32">
        <f>IF(B20&lt;2,"N/A",(STDEV(H3:H17)))</f>
        <v>0.49882194552097853</v>
      </c>
      <c r="B20" s="32">
        <f>COUNT(H3:H17)</f>
        <v>10</v>
      </c>
      <c r="C20" s="33">
        <f>IF(B20&lt;2,"N/A",(A20/D20))</f>
        <v>0.1750252440424486</v>
      </c>
      <c r="D20" s="34">
        <f>ROUND(AVERAGE(H3:H17),2)</f>
        <v>2.85</v>
      </c>
      <c r="E20" s="35" t="str">
        <f>IFERROR(ROUND(IF(B20&lt;2,"N/A",(IF(C20&lt;=25%,"N/A",AVERAGE(I3:I17)))),2),"N/A")</f>
        <v>N/A</v>
      </c>
      <c r="F20" s="35">
        <f>ROUND(MEDIAN(H3:H17),2)</f>
        <v>2.9</v>
      </c>
      <c r="G20" s="36" t="str">
        <f>INDEX(G3:G17,MATCH(H20,H3:H17,0))</f>
        <v>COMAPE - COMERCIO DE ALIMENTOS DE PERNAMBUCO LTDA</v>
      </c>
      <c r="H20" s="37">
        <f>MIN(H3:H17)</f>
        <v>2.1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29</v>
      </c>
      <c r="H22" s="45">
        <f>IF(C20&lt;=25%,D20,MIN(E20:F20))</f>
        <v>2.85</v>
      </c>
    </row>
    <row r="23" spans="1:11" x14ac:dyDescent="0.2">
      <c r="B23" s="38"/>
      <c r="C23" s="38"/>
      <c r="D23" s="6"/>
      <c r="E23" s="6"/>
      <c r="F23" s="46"/>
      <c r="G23" s="17" t="s">
        <v>30</v>
      </c>
      <c r="H23" s="37">
        <f>ROUND(H22,2)*D3</f>
        <v>22800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31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32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33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34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35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36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37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1.6215277777777799" bottom="0.78749999999999998" header="0.51180555555555496" footer="0.51180555555555496"/>
  <pageSetup paperSize="9" scale="92" firstPageNumber="0" orientation="landscape" horizontalDpi="300" verticalDpi="300" r:id="rId1"/>
  <headerFooter>
    <oddHeader>&amp;CTRIBUNAL REGIONAL ELEITORAL DA BAHIA
Seção de Análise e Aquisições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F31" sqref="F31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106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107</v>
      </c>
      <c r="C3" s="10" t="s">
        <v>70</v>
      </c>
      <c r="D3" s="9">
        <v>600</v>
      </c>
      <c r="E3" s="8">
        <f>IF(C20&lt;=25%,D20,MIN(E20:F20))</f>
        <v>0.74</v>
      </c>
      <c r="F3" s="8">
        <f>MIN(H3:H17)</f>
        <v>0.56000000000000005</v>
      </c>
      <c r="G3" s="19" t="s">
        <v>108</v>
      </c>
      <c r="H3" s="20">
        <v>0.56000000000000005</v>
      </c>
      <c r="I3" s="21">
        <f t="shared" ref="I3:I17" si="0">IF(H3="","",(IF($C$20&lt;25%,"N/A",IF(H3&lt;=($D$20+$A$20),H3,"Descartado"))))</f>
        <v>0.56000000000000005</v>
      </c>
    </row>
    <row r="4" spans="1:9" x14ac:dyDescent="0.2">
      <c r="A4" s="12"/>
      <c r="B4" s="11"/>
      <c r="C4" s="10"/>
      <c r="D4" s="9"/>
      <c r="E4" s="8"/>
      <c r="F4" s="8"/>
      <c r="G4" s="19" t="s">
        <v>93</v>
      </c>
      <c r="H4" s="20">
        <v>0.65</v>
      </c>
      <c r="I4" s="21">
        <f t="shared" si="0"/>
        <v>0.65</v>
      </c>
    </row>
    <row r="5" spans="1:9" x14ac:dyDescent="0.2">
      <c r="A5" s="12"/>
      <c r="B5" s="11"/>
      <c r="C5" s="10"/>
      <c r="D5" s="9"/>
      <c r="E5" s="8"/>
      <c r="F5" s="8"/>
      <c r="G5" s="19" t="s">
        <v>109</v>
      </c>
      <c r="H5" s="20">
        <v>0.76</v>
      </c>
      <c r="I5" s="21">
        <f t="shared" si="0"/>
        <v>0.76</v>
      </c>
    </row>
    <row r="6" spans="1:9" x14ac:dyDescent="0.2">
      <c r="A6" s="12"/>
      <c r="B6" s="11"/>
      <c r="C6" s="10"/>
      <c r="D6" s="9"/>
      <c r="E6" s="8"/>
      <c r="F6" s="8"/>
      <c r="G6" s="19" t="s">
        <v>95</v>
      </c>
      <c r="H6" s="20">
        <v>1.69</v>
      </c>
      <c r="I6" s="21" t="str">
        <f t="shared" si="0"/>
        <v>Descartado</v>
      </c>
    </row>
    <row r="7" spans="1:9" x14ac:dyDescent="0.2">
      <c r="A7" s="12"/>
      <c r="B7" s="11"/>
      <c r="C7" s="10"/>
      <c r="D7" s="9"/>
      <c r="E7" s="8"/>
      <c r="F7" s="8"/>
      <c r="G7" s="19" t="s">
        <v>105</v>
      </c>
      <c r="H7" s="20">
        <v>1.79</v>
      </c>
      <c r="I7" s="21" t="str">
        <f t="shared" si="0"/>
        <v>Descartado</v>
      </c>
    </row>
    <row r="8" spans="1:9" x14ac:dyDescent="0.2">
      <c r="A8" s="12"/>
      <c r="B8" s="11"/>
      <c r="C8" s="10"/>
      <c r="D8" s="9"/>
      <c r="E8" s="8"/>
      <c r="F8" s="8"/>
      <c r="G8" s="19" t="s">
        <v>97</v>
      </c>
      <c r="H8" s="20">
        <v>0.99</v>
      </c>
      <c r="I8" s="21">
        <f t="shared" si="0"/>
        <v>0.99</v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22</v>
      </c>
      <c r="B19" s="18" t="s">
        <v>23</v>
      </c>
      <c r="C19" s="17" t="s">
        <v>24</v>
      </c>
      <c r="D19" s="29" t="s">
        <v>25</v>
      </c>
      <c r="E19" s="30" t="s">
        <v>26</v>
      </c>
      <c r="F19" s="29" t="s">
        <v>27</v>
      </c>
      <c r="G19" s="7" t="s">
        <v>28</v>
      </c>
      <c r="H19" s="7"/>
      <c r="I19" s="31"/>
    </row>
    <row r="20" spans="1:11" x14ac:dyDescent="0.2">
      <c r="A20" s="32">
        <f>IF(B20&lt;2,"N/A",(STDEV(H3:H17)))</f>
        <v>0.53697920505981078</v>
      </c>
      <c r="B20" s="32">
        <f>COUNT(H3:H17)</f>
        <v>6</v>
      </c>
      <c r="C20" s="33">
        <f>IF(B20&lt;2,"N/A",(A20/D20))</f>
        <v>0.50184972435496333</v>
      </c>
      <c r="D20" s="34">
        <f>ROUND(AVERAGE(H3:H17),2)</f>
        <v>1.07</v>
      </c>
      <c r="E20" s="35">
        <f>IFERROR(ROUND(IF(B20&lt;2,"N/A",(IF(C20&lt;=25%,"N/A",AVERAGE(I3:I17)))),2),"N/A")</f>
        <v>0.74</v>
      </c>
      <c r="F20" s="35">
        <f>ROUND(MEDIAN(H3:H17),2)</f>
        <v>0.88</v>
      </c>
      <c r="G20" s="36" t="str">
        <f>INDEX(G3:G17,MATCH(H20,H3:H17,0))</f>
        <v>M S ZOPELARI DISTRIBUIDORA DE ALIMENTOS EIRELI</v>
      </c>
      <c r="H20" s="37">
        <f>MIN(H3:H17)</f>
        <v>0.56000000000000005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29</v>
      </c>
      <c r="H22" s="45">
        <f>IF(C20&lt;=25%,D20,MIN(E20:F20))</f>
        <v>0.74</v>
      </c>
    </row>
    <row r="23" spans="1:11" x14ac:dyDescent="0.2">
      <c r="B23" s="38"/>
      <c r="C23" s="38"/>
      <c r="D23" s="6"/>
      <c r="E23" s="6"/>
      <c r="F23" s="46"/>
      <c r="G23" s="17" t="s">
        <v>30</v>
      </c>
      <c r="H23" s="37">
        <f>ROUND(H22,2)*D3</f>
        <v>444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31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32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33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34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35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36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37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1.6215277777777799" bottom="0.78749999999999998" header="0.51180555555555496" footer="0.51180555555555496"/>
  <pageSetup paperSize="9" scale="92" firstPageNumber="0" orientation="landscape" horizontalDpi="300" verticalDpi="300" r:id="rId1"/>
  <headerFooter>
    <oddHeader>&amp;CTRIBUNAL REGIONAL ELEITORAL DA BAHIA
Seção de Análise e Aquisições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F31" sqref="F31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110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111</v>
      </c>
      <c r="C3" s="10" t="s">
        <v>70</v>
      </c>
      <c r="D3" s="9">
        <v>600</v>
      </c>
      <c r="E3" s="8">
        <f>IF(C20&lt;=25%,D20,MIN(E20:F20))</f>
        <v>1.64</v>
      </c>
      <c r="F3" s="8">
        <f>MIN(H3:H17)</f>
        <v>1.05</v>
      </c>
      <c r="G3" s="19" t="s">
        <v>93</v>
      </c>
      <c r="H3" s="20">
        <v>1.05</v>
      </c>
      <c r="I3" s="21">
        <f t="shared" ref="I3:I17" si="0">IF(H3="","",(IF($C$20&lt;25%,"N/A",IF(H3&lt;=($D$20+$A$20),H3,"Descartado"))))</f>
        <v>1.05</v>
      </c>
    </row>
    <row r="4" spans="1:9" x14ac:dyDescent="0.2">
      <c r="A4" s="12"/>
      <c r="B4" s="11"/>
      <c r="C4" s="10"/>
      <c r="D4" s="9"/>
      <c r="E4" s="8"/>
      <c r="F4" s="8"/>
      <c r="G4" s="19" t="s">
        <v>95</v>
      </c>
      <c r="H4" s="20">
        <v>2.09</v>
      </c>
      <c r="I4" s="21">
        <f t="shared" si="0"/>
        <v>2.09</v>
      </c>
    </row>
    <row r="5" spans="1:9" x14ac:dyDescent="0.2">
      <c r="A5" s="12"/>
      <c r="B5" s="11"/>
      <c r="C5" s="10"/>
      <c r="D5" s="9"/>
      <c r="E5" s="8"/>
      <c r="F5" s="8"/>
      <c r="G5" s="19" t="s">
        <v>97</v>
      </c>
      <c r="H5" s="20">
        <v>1.77</v>
      </c>
      <c r="I5" s="21">
        <f t="shared" si="0"/>
        <v>1.77</v>
      </c>
    </row>
    <row r="6" spans="1:9" x14ac:dyDescent="0.2">
      <c r="A6" s="12"/>
      <c r="B6" s="11"/>
      <c r="C6" s="10"/>
      <c r="D6" s="9"/>
      <c r="E6" s="8"/>
      <c r="F6" s="8"/>
      <c r="G6" s="19"/>
      <c r="H6" s="20"/>
      <c r="I6" s="21" t="str">
        <f t="shared" si="0"/>
        <v/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22</v>
      </c>
      <c r="B19" s="18" t="s">
        <v>23</v>
      </c>
      <c r="C19" s="17" t="s">
        <v>24</v>
      </c>
      <c r="D19" s="29" t="s">
        <v>25</v>
      </c>
      <c r="E19" s="30" t="s">
        <v>26</v>
      </c>
      <c r="F19" s="29" t="s">
        <v>27</v>
      </c>
      <c r="G19" s="7" t="s">
        <v>28</v>
      </c>
      <c r="H19" s="7"/>
      <c r="I19" s="31"/>
    </row>
    <row r="20" spans="1:11" x14ac:dyDescent="0.2">
      <c r="A20" s="32">
        <f>IF(B20&lt;2,"N/A",(STDEV(H3:H17)))</f>
        <v>0.53266624947835128</v>
      </c>
      <c r="B20" s="32">
        <f>COUNT(H3:H17)</f>
        <v>3</v>
      </c>
      <c r="C20" s="33">
        <f>IF(B20&lt;2,"N/A",(A20/D20))</f>
        <v>0.32479649358436058</v>
      </c>
      <c r="D20" s="34">
        <f>ROUND(AVERAGE(H3:H17),2)</f>
        <v>1.64</v>
      </c>
      <c r="E20" s="35">
        <f>IFERROR(ROUND(IF(B20&lt;2,"N/A",(IF(C20&lt;=25%,"N/A",AVERAGE(I3:I17)))),2),"N/A")</f>
        <v>1.64</v>
      </c>
      <c r="F20" s="35">
        <f>ROUND(MEDIAN(H3:H17),2)</f>
        <v>1.77</v>
      </c>
      <c r="G20" s="36" t="str">
        <f>INDEX(G3:G17,MATCH(H20,H3:H17,0))</f>
        <v>LUCIANA C. R. POTON - LARA FRUT POLPAS DE FRUTA</v>
      </c>
      <c r="H20" s="37">
        <f>MIN(H3:H17)</f>
        <v>1.05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29</v>
      </c>
      <c r="H22" s="45">
        <f>IF(C20&lt;=25%,D20,MIN(E20:F20))</f>
        <v>1.64</v>
      </c>
    </row>
    <row r="23" spans="1:11" x14ac:dyDescent="0.2">
      <c r="B23" s="38"/>
      <c r="C23" s="38"/>
      <c r="D23" s="6"/>
      <c r="E23" s="6"/>
      <c r="F23" s="46"/>
      <c r="G23" s="17" t="s">
        <v>30</v>
      </c>
      <c r="H23" s="37">
        <f>ROUND(H22,2)*D3</f>
        <v>983.99999999999989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31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32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33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34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35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36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37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1.6215277777777799" bottom="0.78749999999999998" header="0.51180555555555496" footer="0.51180555555555496"/>
  <pageSetup paperSize="9" scale="92" firstPageNumber="0" orientation="landscape" horizontalDpi="300" verticalDpi="300" r:id="rId1"/>
  <headerFooter>
    <oddHeader>&amp;CTRIBUNAL REGIONAL ELEITORAL DA BAHIA
Seção de Análise e Aquisições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F31" sqref="F31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112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113</v>
      </c>
      <c r="C3" s="10" t="s">
        <v>70</v>
      </c>
      <c r="D3" s="9">
        <v>600</v>
      </c>
      <c r="E3" s="8">
        <f>IF(C20&lt;=25%,D20,MIN(E20:F20))</f>
        <v>1.08</v>
      </c>
      <c r="F3" s="8">
        <f>MIN(H3:H17)</f>
        <v>0.9</v>
      </c>
      <c r="G3" s="19" t="s">
        <v>93</v>
      </c>
      <c r="H3" s="20">
        <v>0.9</v>
      </c>
      <c r="I3" s="21">
        <f t="shared" ref="I3:I17" si="0">IF(H3="","",(IF($C$20&lt;25%,"N/A",IF(H3&lt;=($D$20+$A$20),H3,"Descartado"))))</f>
        <v>0.9</v>
      </c>
    </row>
    <row r="4" spans="1:9" x14ac:dyDescent="0.2">
      <c r="A4" s="12"/>
      <c r="B4" s="11"/>
      <c r="C4" s="10"/>
      <c r="D4" s="9"/>
      <c r="E4" s="8"/>
      <c r="F4" s="8"/>
      <c r="G4" s="19" t="s">
        <v>94</v>
      </c>
      <c r="H4" s="20">
        <v>1</v>
      </c>
      <c r="I4" s="21">
        <f t="shared" si="0"/>
        <v>1</v>
      </c>
    </row>
    <row r="5" spans="1:9" x14ac:dyDescent="0.2">
      <c r="A5" s="12"/>
      <c r="B5" s="11"/>
      <c r="C5" s="10"/>
      <c r="D5" s="9"/>
      <c r="E5" s="8"/>
      <c r="F5" s="8"/>
      <c r="G5" s="19" t="s">
        <v>95</v>
      </c>
      <c r="H5" s="20">
        <v>2.09</v>
      </c>
      <c r="I5" s="21" t="str">
        <f t="shared" si="0"/>
        <v>Descartado</v>
      </c>
    </row>
    <row r="6" spans="1:9" x14ac:dyDescent="0.2">
      <c r="A6" s="12"/>
      <c r="B6" s="11"/>
      <c r="C6" s="10"/>
      <c r="D6" s="9"/>
      <c r="E6" s="8"/>
      <c r="F6" s="8"/>
      <c r="G6" s="19" t="s">
        <v>97</v>
      </c>
      <c r="H6" s="20">
        <v>1.35</v>
      </c>
      <c r="I6" s="21">
        <f t="shared" si="0"/>
        <v>1.35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22</v>
      </c>
      <c r="B19" s="18" t="s">
        <v>23</v>
      </c>
      <c r="C19" s="17" t="s">
        <v>24</v>
      </c>
      <c r="D19" s="29" t="s">
        <v>25</v>
      </c>
      <c r="E19" s="30" t="s">
        <v>26</v>
      </c>
      <c r="F19" s="29" t="s">
        <v>27</v>
      </c>
      <c r="G19" s="7" t="s">
        <v>28</v>
      </c>
      <c r="H19" s="7"/>
      <c r="I19" s="31"/>
    </row>
    <row r="20" spans="1:11" x14ac:dyDescent="0.2">
      <c r="A20" s="32">
        <f>IF(B20&lt;2,"N/A",(STDEV(H3:H17)))</f>
        <v>0.5390423607349113</v>
      </c>
      <c r="B20" s="32">
        <f>COUNT(H3:H17)</f>
        <v>4</v>
      </c>
      <c r="C20" s="33">
        <f>IF(B20&lt;2,"N/A",(A20/D20))</f>
        <v>0.402270418458889</v>
      </c>
      <c r="D20" s="34">
        <f>ROUND(AVERAGE(H3:H17),2)</f>
        <v>1.34</v>
      </c>
      <c r="E20" s="35">
        <f>IFERROR(ROUND(IF(B20&lt;2,"N/A",(IF(C20&lt;=25%,"N/A",AVERAGE(I3:I17)))),2),"N/A")</f>
        <v>1.08</v>
      </c>
      <c r="F20" s="35">
        <f>ROUND(MEDIAN(H3:H17),2)</f>
        <v>1.18</v>
      </c>
      <c r="G20" s="36" t="str">
        <f>INDEX(G3:G17,MATCH(H20,H3:H17,0))</f>
        <v>LUCIANA C. R. POTON - LARA FRUT POLPAS DE FRUTA</v>
      </c>
      <c r="H20" s="37">
        <f>MIN(H3:H17)</f>
        <v>0.9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29</v>
      </c>
      <c r="H22" s="45">
        <f>IF(C20&lt;=25%,D20,MIN(E20:F20))</f>
        <v>1.08</v>
      </c>
    </row>
    <row r="23" spans="1:11" x14ac:dyDescent="0.2">
      <c r="B23" s="38"/>
      <c r="C23" s="38"/>
      <c r="D23" s="6"/>
      <c r="E23" s="6"/>
      <c r="F23" s="46"/>
      <c r="G23" s="17" t="s">
        <v>30</v>
      </c>
      <c r="H23" s="37">
        <f>ROUND(H22,2)*D3</f>
        <v>648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31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32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33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34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35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36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37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1.6215277777777799" bottom="0.78749999999999998" header="0.51180555555555496" footer="0.51180555555555496"/>
  <pageSetup paperSize="9" scale="92" firstPageNumber="0" orientation="landscape" horizontalDpi="300" verticalDpi="300" r:id="rId1"/>
  <headerFooter>
    <oddHeader>&amp;CTRIBUNAL REGIONAL ELEITORAL DA BAHIA
Seção de Análise e Aquisições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F31" sqref="F31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114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115</v>
      </c>
      <c r="C3" s="10" t="s">
        <v>70</v>
      </c>
      <c r="D3" s="9">
        <v>600</v>
      </c>
      <c r="E3" s="8">
        <f>IF(C20&lt;=25%,D20,MIN(E20:F20))</f>
        <v>1.66</v>
      </c>
      <c r="F3" s="8">
        <f>MIN(H3:H17)</f>
        <v>0.89</v>
      </c>
      <c r="G3" s="19" t="s">
        <v>95</v>
      </c>
      <c r="H3" s="20">
        <v>1.69</v>
      </c>
      <c r="I3" s="21">
        <f t="shared" ref="I3:I17" si="0">IF(H3="","",(IF($C$20&lt;25%,"N/A",IF(H3&lt;=($D$20+$A$20),H3,"Descartado"))))</f>
        <v>1.69</v>
      </c>
    </row>
    <row r="4" spans="1:9" x14ac:dyDescent="0.2">
      <c r="A4" s="12"/>
      <c r="B4" s="11"/>
      <c r="C4" s="10"/>
      <c r="D4" s="9"/>
      <c r="E4" s="8"/>
      <c r="F4" s="8"/>
      <c r="G4" s="19" t="s">
        <v>97</v>
      </c>
      <c r="H4" s="20">
        <v>0.89</v>
      </c>
      <c r="I4" s="21">
        <f t="shared" si="0"/>
        <v>0.89</v>
      </c>
    </row>
    <row r="5" spans="1:9" x14ac:dyDescent="0.2">
      <c r="A5" s="12"/>
      <c r="B5" s="11"/>
      <c r="C5" s="10"/>
      <c r="D5" s="9"/>
      <c r="E5" s="8"/>
      <c r="F5" s="8"/>
      <c r="G5" s="19" t="s">
        <v>98</v>
      </c>
      <c r="H5" s="20">
        <v>2.4</v>
      </c>
      <c r="I5" s="21">
        <f t="shared" si="0"/>
        <v>2.4</v>
      </c>
    </row>
    <row r="6" spans="1:9" x14ac:dyDescent="0.2">
      <c r="A6" s="12"/>
      <c r="B6" s="11"/>
      <c r="C6" s="10"/>
      <c r="D6" s="9"/>
      <c r="E6" s="8"/>
      <c r="F6" s="8"/>
      <c r="G6" s="19"/>
      <c r="H6" s="20"/>
      <c r="I6" s="21" t="str">
        <f t="shared" si="0"/>
        <v/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22</v>
      </c>
      <c r="B19" s="18" t="s">
        <v>23</v>
      </c>
      <c r="C19" s="17" t="s">
        <v>24</v>
      </c>
      <c r="D19" s="29" t="s">
        <v>25</v>
      </c>
      <c r="E19" s="30" t="s">
        <v>26</v>
      </c>
      <c r="F19" s="29" t="s">
        <v>27</v>
      </c>
      <c r="G19" s="7" t="s">
        <v>28</v>
      </c>
      <c r="H19" s="7"/>
      <c r="I19" s="31"/>
    </row>
    <row r="20" spans="1:11" x14ac:dyDescent="0.2">
      <c r="A20" s="32">
        <f>IF(B20&lt;2,"N/A",(STDEV(H3:H17)))</f>
        <v>0.75544688761024004</v>
      </c>
      <c r="B20" s="32">
        <f>COUNT(H3:H17)</f>
        <v>3</v>
      </c>
      <c r="C20" s="33">
        <f>IF(B20&lt;2,"N/A",(A20/D20))</f>
        <v>0.4550884865121928</v>
      </c>
      <c r="D20" s="34">
        <f>ROUND(AVERAGE(H3:H17),2)</f>
        <v>1.66</v>
      </c>
      <c r="E20" s="35">
        <f>IFERROR(ROUND(IF(B20&lt;2,"N/A",(IF(C20&lt;=25%,"N/A",AVERAGE(I3:I17)))),2),"N/A")</f>
        <v>1.66</v>
      </c>
      <c r="F20" s="35">
        <f>ROUND(MEDIAN(H3:H17),2)</f>
        <v>1.69</v>
      </c>
      <c r="G20" s="36" t="str">
        <f>INDEX(G3:G17,MATCH(H20,H3:H17,0))</f>
        <v>HIPERIDEAL</v>
      </c>
      <c r="H20" s="37">
        <f>MIN(H3:H17)</f>
        <v>0.89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29</v>
      </c>
      <c r="H22" s="45">
        <f>IF(C20&lt;=25%,D20,MIN(E20:F20))</f>
        <v>1.66</v>
      </c>
    </row>
    <row r="23" spans="1:11" x14ac:dyDescent="0.2">
      <c r="B23" s="38"/>
      <c r="C23" s="38"/>
      <c r="D23" s="6"/>
      <c r="E23" s="6"/>
      <c r="F23" s="46"/>
      <c r="G23" s="17" t="s">
        <v>30</v>
      </c>
      <c r="H23" s="37">
        <f>ROUND(H22,2)*D3</f>
        <v>996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31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32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33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34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35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36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37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1.6215277777777799" bottom="0.78749999999999998" header="0.51180555555555496" footer="0.51180555555555496"/>
  <pageSetup paperSize="9" scale="92" firstPageNumber="0" orientation="landscape" horizontalDpi="300" verticalDpi="300" r:id="rId1"/>
  <headerFooter>
    <oddHeader>&amp;CTRIBUNAL REGIONAL ELEITORAL DA BAHIA
Seção de Análise e Aquisições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abSelected="1" view="pageBreakPreview" zoomScaleNormal="100" workbookViewId="0">
      <selection activeCell="H12" sqref="H12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116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69</v>
      </c>
      <c r="C3" s="10" t="s">
        <v>70</v>
      </c>
      <c r="D3" s="9">
        <v>180000</v>
      </c>
      <c r="E3" s="8">
        <f>IF(C20&lt;=25%,D20,MIN(E20:F20))</f>
        <v>0.47</v>
      </c>
      <c r="F3" s="8">
        <f>MIN(H3:H17)</f>
        <v>0.36</v>
      </c>
      <c r="G3" s="19" t="s">
        <v>71</v>
      </c>
      <c r="H3" s="20">
        <f>0.36</f>
        <v>0.36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72</v>
      </c>
      <c r="H4" s="20">
        <v>0.41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73</v>
      </c>
      <c r="H5" s="20">
        <v>0.48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74</v>
      </c>
      <c r="H6" s="20">
        <v>0.48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 t="s">
        <v>75</v>
      </c>
      <c r="H7" s="20">
        <v>0.48</v>
      </c>
      <c r="I7" s="21" t="str">
        <f t="shared" si="0"/>
        <v>N/A</v>
      </c>
    </row>
    <row r="8" spans="1:9" x14ac:dyDescent="0.2">
      <c r="A8" s="12"/>
      <c r="B8" s="11"/>
      <c r="C8" s="10"/>
      <c r="D8" s="9"/>
      <c r="E8" s="8"/>
      <c r="F8" s="8"/>
      <c r="G8" s="19" t="s">
        <v>76</v>
      </c>
      <c r="H8" s="20">
        <v>0.49</v>
      </c>
      <c r="I8" s="21" t="str">
        <f t="shared" si="0"/>
        <v>N/A</v>
      </c>
    </row>
    <row r="9" spans="1:9" x14ac:dyDescent="0.2">
      <c r="A9" s="12"/>
      <c r="B9" s="11"/>
      <c r="C9" s="10"/>
      <c r="D9" s="9"/>
      <c r="E9" s="8"/>
      <c r="F9" s="8"/>
      <c r="G9" s="19" t="s">
        <v>77</v>
      </c>
      <c r="H9" s="20">
        <v>0.49</v>
      </c>
      <c r="I9" s="21" t="str">
        <f t="shared" si="0"/>
        <v>N/A</v>
      </c>
    </row>
    <row r="10" spans="1:9" x14ac:dyDescent="0.2">
      <c r="A10" s="12"/>
      <c r="B10" s="11"/>
      <c r="C10" s="10"/>
      <c r="D10" s="9"/>
      <c r="E10" s="8"/>
      <c r="F10" s="8"/>
      <c r="G10" s="19" t="s">
        <v>78</v>
      </c>
      <c r="H10" s="20">
        <f>22/48</f>
        <v>0.45833333333333331</v>
      </c>
      <c r="I10" s="21" t="str">
        <f t="shared" si="0"/>
        <v>N/A</v>
      </c>
    </row>
    <row r="11" spans="1:9" x14ac:dyDescent="0.2">
      <c r="A11" s="12"/>
      <c r="B11" s="11"/>
      <c r="C11" s="10"/>
      <c r="D11" s="9"/>
      <c r="E11" s="8"/>
      <c r="F11" s="8"/>
      <c r="G11" s="19" t="s">
        <v>52</v>
      </c>
      <c r="H11" s="20">
        <f>29.98/48</f>
        <v>0.62458333333333338</v>
      </c>
      <c r="I11" s="21" t="str">
        <f t="shared" si="0"/>
        <v>N/A</v>
      </c>
    </row>
    <row r="12" spans="1:9" x14ac:dyDescent="0.2">
      <c r="A12" s="12"/>
      <c r="B12" s="11"/>
      <c r="C12" s="10"/>
      <c r="D12" s="9"/>
      <c r="E12" s="8"/>
      <c r="F12" s="8"/>
      <c r="G12" s="19" t="s">
        <v>79</v>
      </c>
      <c r="H12" s="20">
        <f>22.3/48</f>
        <v>0.46458333333333335</v>
      </c>
      <c r="I12" s="21" t="str">
        <f t="shared" si="0"/>
        <v>N/A</v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22</v>
      </c>
      <c r="B19" s="18" t="s">
        <v>23</v>
      </c>
      <c r="C19" s="17" t="s">
        <v>24</v>
      </c>
      <c r="D19" s="29" t="s">
        <v>25</v>
      </c>
      <c r="E19" s="30" t="s">
        <v>26</v>
      </c>
      <c r="F19" s="29" t="s">
        <v>27</v>
      </c>
      <c r="G19" s="7" t="s">
        <v>28</v>
      </c>
      <c r="H19" s="7"/>
      <c r="I19" s="31"/>
    </row>
    <row r="20" spans="1:11" x14ac:dyDescent="0.2">
      <c r="A20" s="32">
        <f>IF(B20&lt;2,"N/A",(STDEV(H3:H17)))</f>
        <v>6.7264678970741662E-2</v>
      </c>
      <c r="B20" s="32">
        <f>COUNT(H3:H17)</f>
        <v>10</v>
      </c>
      <c r="C20" s="33">
        <f>IF(B20&lt;2,"N/A",(A20/D20))</f>
        <v>0.14311633823562056</v>
      </c>
      <c r="D20" s="34">
        <f>ROUND(AVERAGE(H3:H17),2)</f>
        <v>0.47</v>
      </c>
      <c r="E20" s="35" t="str">
        <f>IFERROR(ROUND(IF(B20&lt;2,"N/A",(IF(C20&lt;=25%,"N/A",AVERAGE(I3:I17)))),2),"N/A")</f>
        <v>N/A</v>
      </c>
      <c r="F20" s="35">
        <f>ROUND(MEDIAN(H3:H17),2)</f>
        <v>0.48</v>
      </c>
      <c r="G20" s="36" t="str">
        <f>INDEX(G3:G17,MATCH(H20,H3:H17,0))</f>
        <v>MAX LEAL SOLANO CAVALCANTE</v>
      </c>
      <c r="H20" s="37">
        <f>MIN(H3:H17)</f>
        <v>0.36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29</v>
      </c>
      <c r="H22" s="45">
        <f>IF(C20&lt;=25%,D20,MIN(E20:F20))</f>
        <v>0.47</v>
      </c>
    </row>
    <row r="23" spans="1:11" x14ac:dyDescent="0.2">
      <c r="B23" s="38"/>
      <c r="C23" s="38"/>
      <c r="D23" s="6"/>
      <c r="E23" s="6"/>
      <c r="F23" s="46"/>
      <c r="G23" s="17" t="s">
        <v>30</v>
      </c>
      <c r="H23" s="37">
        <f>ROUND(H22,2)*D3</f>
        <v>84600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31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32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33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34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35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36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37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1.6215277777777799" bottom="0.78749999999999998" header="0.51180555555555496" footer="0.51180555555555496"/>
  <pageSetup paperSize="9" scale="92" firstPageNumber="0" orientation="landscape" horizontalDpi="300" verticalDpi="300" r:id="rId1"/>
  <headerFooter>
    <oddHeader>&amp;CTRIBUNAL REGIONAL ELEITORAL DA BAHIA
Seção de Análise e Aquisições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17"/>
  <sheetViews>
    <sheetView view="pageBreakPreview" topLeftCell="A6" zoomScaleNormal="100" workbookViewId="0">
      <selection activeCell="D10" sqref="D10"/>
    </sheetView>
  </sheetViews>
  <sheetFormatPr defaultColWidth="9.140625" defaultRowHeight="12.75" x14ac:dyDescent="0.2"/>
  <cols>
    <col min="1" max="1" width="9.140625" style="47"/>
    <col min="2" max="2" width="68.140625" style="47" customWidth="1"/>
    <col min="3" max="5" width="13.28515625" style="47" customWidth="1"/>
    <col min="6" max="6" width="15.5703125" style="47" customWidth="1"/>
    <col min="7" max="13" width="9.140625" style="48"/>
    <col min="14" max="1023" width="9.140625" style="47"/>
    <col min="1024" max="1024" width="11.5703125" customWidth="1"/>
  </cols>
  <sheetData>
    <row r="1" spans="1:6" ht="15" customHeight="1" x14ac:dyDescent="0.25">
      <c r="A1" s="3" t="s">
        <v>117</v>
      </c>
      <c r="B1" s="3"/>
      <c r="C1" s="49">
        <f ca="1">TODAY()</f>
        <v>44216</v>
      </c>
      <c r="D1" s="50"/>
      <c r="E1" s="50"/>
      <c r="F1" s="50"/>
    </row>
    <row r="2" spans="1:6" ht="25.5" x14ac:dyDescent="0.2">
      <c r="A2" s="51" t="s">
        <v>118</v>
      </c>
      <c r="B2" s="51" t="s">
        <v>119</v>
      </c>
      <c r="C2" s="51" t="s">
        <v>120</v>
      </c>
      <c r="D2" s="51" t="s">
        <v>121</v>
      </c>
      <c r="E2" s="51" t="s">
        <v>122</v>
      </c>
      <c r="F2" s="51" t="s">
        <v>123</v>
      </c>
    </row>
    <row r="3" spans="1:6" ht="76.5" x14ac:dyDescent="0.2">
      <c r="A3" s="52">
        <v>1</v>
      </c>
      <c r="B3" s="53" t="str">
        <f>Item1!B3</f>
        <v>Açúcar branco granulado, 
Derivado da cana-de-açúcar, 
Embalagem de 1 kg, 
Com impressão do nome do fabricante, registro no Ministério da Saúde e validade do produto não inferior a 11 meses, contados da data do recebimento definitivo.
Acondicionados em sacos com 25 ou 30 pacotes</v>
      </c>
      <c r="C3" s="52" t="str">
        <f>Item1!C3</f>
        <v>quilograma</v>
      </c>
      <c r="D3" s="52">
        <f>Item1!D3</f>
        <v>8000</v>
      </c>
      <c r="E3" s="54">
        <f>Item1!E3</f>
        <v>2.85</v>
      </c>
      <c r="F3" s="54">
        <f t="shared" ref="F3:F16" si="0">(ROUND(E3,2)*D3)</f>
        <v>22800</v>
      </c>
    </row>
    <row r="4" spans="1:6" ht="114.75" x14ac:dyDescent="0.2">
      <c r="A4" s="52">
        <v>2</v>
      </c>
      <c r="B4" s="53" t="str">
        <f>Item2!B3</f>
        <v>Leite em pó, 
Integral, 
Granulado, 
Derivado da vaca, 
Lata com 400g, 
Com impressão do nome do fabricante, registro no Ministério da Agricultura e validade do produto não inferior a 9 meses, contados da data do recebimento definitivo.
Acondicionados em caixas com até 24 unidades</v>
      </c>
      <c r="C4" s="52" t="str">
        <f>Item2!C3</f>
        <v>lata</v>
      </c>
      <c r="D4" s="52">
        <f>Item2!D3</f>
        <v>800</v>
      </c>
      <c r="E4" s="54">
        <f>Item2!E3</f>
        <v>11.91</v>
      </c>
      <c r="F4" s="54">
        <f t="shared" si="0"/>
        <v>9528</v>
      </c>
    </row>
    <row r="5" spans="1:6" ht="51" x14ac:dyDescent="0.2">
      <c r="A5" s="52">
        <v>3</v>
      </c>
      <c r="B5" s="53" t="str">
        <f>Item3!B3</f>
        <v>Leite em pó, Desnatado, Granulado, Derivado da vaca, Lata com 300g, Com impressão do nome do fabricante, registro no Ministério da Agricultura e validade do produto não inferior a 9 meses, contados da data do recebimento definitivo.
Acondicionados em caixas com até 24 unidades.</v>
      </c>
      <c r="C5" s="52" t="str">
        <f>Item3!C3</f>
        <v>lata</v>
      </c>
      <c r="D5" s="52">
        <f>Item3!D3</f>
        <v>300</v>
      </c>
      <c r="E5" s="54">
        <f>Item3!E3</f>
        <v>9.75</v>
      </c>
      <c r="F5" s="54">
        <f t="shared" si="0"/>
        <v>2925</v>
      </c>
    </row>
    <row r="6" spans="1:6" ht="76.5" x14ac:dyDescent="0.2">
      <c r="A6" s="52">
        <v>4</v>
      </c>
      <c r="B6" s="53" t="str">
        <f>Item4!B3</f>
        <v>Adoçante Líquido Dietético, 
À base de aspartame, 
Em embalagem plástica com 65 ml, 
Com impressão do nome do fabricante, registro no Ministério da Saúde e validade do produto não inferior a 11 meses, contados da data do recebimento definitivo.
Acondicionados em caixas com até 30 unidades.</v>
      </c>
      <c r="C6" s="52" t="str">
        <f>Item4!C3</f>
        <v>frasco</v>
      </c>
      <c r="D6" s="52">
        <f>Item4!D3</f>
        <v>180</v>
      </c>
      <c r="E6" s="54">
        <f>Item4!E3</f>
        <v>12.18</v>
      </c>
      <c r="F6" s="54">
        <f t="shared" si="0"/>
        <v>2192.4</v>
      </c>
    </row>
    <row r="7" spans="1:6" ht="63.75" x14ac:dyDescent="0.2">
      <c r="A7" s="52">
        <v>5</v>
      </c>
      <c r="B7" s="53" t="str">
        <f>Item5!B3</f>
        <v>Água mineral 
Acondicionada em copos de 200ml. 
Com impressão do nome do fabricante, registro no Ministério da Saúde e validade do produto não inferior a 4 meses, contados da data do recebimento definitivo. 
Embalagem: caixa contendo 48 copos.</v>
      </c>
      <c r="C7" s="52" t="str">
        <f>Item5!C3</f>
        <v>unidade</v>
      </c>
      <c r="D7" s="52">
        <f>Item5!D3</f>
        <v>60000</v>
      </c>
      <c r="E7" s="54">
        <f>Item5!E3</f>
        <v>0.47</v>
      </c>
      <c r="F7" s="54">
        <f t="shared" si="0"/>
        <v>28200</v>
      </c>
    </row>
    <row r="8" spans="1:6" ht="76.5" x14ac:dyDescent="0.2">
      <c r="A8" s="52">
        <v>6</v>
      </c>
      <c r="B8" s="53" t="str">
        <f>Item6!B3</f>
        <v>Água mineral 
Sem gás, 
Acondicionada em garrafão plástico transparente, de 20 litros (só o líquido), 
Com impressão do nome do fabricante, registro no Ministério da Saúde e validade do produto não inferior a 03 meses, contados da data do recebimento definitivo.
Fornecimento em vasilhames com máximo de 8 meses de fabricação.</v>
      </c>
      <c r="C8" s="52" t="str">
        <f>Item6!C3</f>
        <v>garrafão</v>
      </c>
      <c r="D8" s="52">
        <f>Item6!D3</f>
        <v>250</v>
      </c>
      <c r="E8" s="54">
        <f>Item6!E3</f>
        <v>5.78</v>
      </c>
      <c r="F8" s="54">
        <f t="shared" si="0"/>
        <v>1445</v>
      </c>
    </row>
    <row r="9" spans="1:6" ht="63.75" x14ac:dyDescent="0.2">
      <c r="A9" s="52">
        <v>7</v>
      </c>
      <c r="B9" s="53" t="str">
        <f>Item7!B3</f>
        <v>Polpa de acerola 
Embalagem plástica com 100g, 
Com impressão do nome do fabricante, registro no Ministério da Saúde e validade do produto não inferior a 3 meses, contados da data do recebimento definitivo.
Acondicionadas em embalagens com até 30 unidades</v>
      </c>
      <c r="C9" s="52" t="str">
        <f>Item7!C3</f>
        <v>unidade</v>
      </c>
      <c r="D9" s="52">
        <f>Item7!D3</f>
        <v>600</v>
      </c>
      <c r="E9" s="54">
        <f>Item7!E3</f>
        <v>0.9</v>
      </c>
      <c r="F9" s="54">
        <f t="shared" si="0"/>
        <v>540</v>
      </c>
    </row>
    <row r="10" spans="1:6" ht="63.75" x14ac:dyDescent="0.2">
      <c r="A10" s="52">
        <v>8</v>
      </c>
      <c r="B10" s="53" t="str">
        <f>Item8!B3</f>
        <v>Polpa de cajá 
Embalagem plástica com 100g, 
Com impressão do nome do fabricante, registro no Ministério da Saúde e validade do produto não inferior a 3 meses, contados da data do recebimento definitivo.
Acondicionadas em embalagens com até 30 unidades</v>
      </c>
      <c r="C10" s="52" t="str">
        <f>Item8!C3</f>
        <v>unidade</v>
      </c>
      <c r="D10" s="52">
        <f>Item8!D3</f>
        <v>600</v>
      </c>
      <c r="E10" s="54">
        <f>Item8!E3</f>
        <v>1.78</v>
      </c>
      <c r="F10" s="54">
        <f t="shared" si="0"/>
        <v>1068</v>
      </c>
    </row>
    <row r="11" spans="1:6" ht="63.75" x14ac:dyDescent="0.2">
      <c r="A11" s="52">
        <v>9</v>
      </c>
      <c r="B11" s="53" t="str">
        <f>Item9!B3</f>
        <v>Polpa de goiaba 
Embalagem plástica com 100g, 
Com impressão do nome do fabricante, registro no Ministério da Saúde e validade do produto não inferior a 3 meses, contados da data do recebimento definitivo.
Acondicionadas em embalagens com até 30 unidades</v>
      </c>
      <c r="C11" s="52" t="str">
        <f>Item9!C3</f>
        <v>unidade</v>
      </c>
      <c r="D11" s="52">
        <f>Item9!D3</f>
        <v>600</v>
      </c>
      <c r="E11" s="54">
        <f>Item9!E3</f>
        <v>1.1599999999999999</v>
      </c>
      <c r="F11" s="54">
        <f t="shared" si="0"/>
        <v>696</v>
      </c>
    </row>
    <row r="12" spans="1:6" ht="63.75" x14ac:dyDescent="0.2">
      <c r="A12" s="52">
        <v>10</v>
      </c>
      <c r="B12" s="53" t="str">
        <f>Item10!B3</f>
        <v>Polpa de manga 
Embalagem plástica com 100g, 
Com impressão do nome do fabricante, registro no Ministério da Saúde e validade do produto não inferior a 3 meses, contados da data do recebimento definitivo.
Acondicionadas em embalagens com até 30 unidades</v>
      </c>
      <c r="C12" s="52" t="str">
        <f>Item10!C3</f>
        <v>unidade</v>
      </c>
      <c r="D12" s="52">
        <f>Item10!D3</f>
        <v>600</v>
      </c>
      <c r="E12" s="54">
        <f>Item10!E3</f>
        <v>0.74</v>
      </c>
      <c r="F12" s="54">
        <f t="shared" si="0"/>
        <v>444</v>
      </c>
    </row>
    <row r="13" spans="1:6" ht="63.75" x14ac:dyDescent="0.2">
      <c r="A13" s="52">
        <v>11</v>
      </c>
      <c r="B13" s="53" t="str">
        <f>Item11!B3</f>
        <v>Polpa de maracujá 
Embalagem plástica com 100g, 
Com impressão do nome do fabricante, registro no Ministério da Saúde e validade do produto não inferior a 3 meses, contados da data do recebimento definitivo.
Acondicionadas em embalagens com até 30 unidades</v>
      </c>
      <c r="C13" s="52" t="str">
        <f>Item11!C3</f>
        <v>unidade</v>
      </c>
      <c r="D13" s="52">
        <f>Item11!D3</f>
        <v>600</v>
      </c>
      <c r="E13" s="54">
        <f>Item11!E3</f>
        <v>1.64</v>
      </c>
      <c r="F13" s="54">
        <f t="shared" si="0"/>
        <v>983.99999999999989</v>
      </c>
    </row>
    <row r="14" spans="1:6" ht="63.75" x14ac:dyDescent="0.2">
      <c r="A14" s="52">
        <v>12</v>
      </c>
      <c r="B14" s="53" t="str">
        <f>Item12!B3</f>
        <v>Polpa de morango 
Embalagem plástica com 100g, 
Com impressão do nome do fabricante, registro no Ministério da Saúde e validade do produto não inferior a 3 meses, contados da data do recebimento definitivo.
Acondicionadas em embalagens com até 30 unidades</v>
      </c>
      <c r="C14" s="52" t="str">
        <f>Item12!C3</f>
        <v>unidade</v>
      </c>
      <c r="D14" s="52">
        <f>Item12!D3</f>
        <v>600</v>
      </c>
      <c r="E14" s="54">
        <f>Item12!E3</f>
        <v>1.08</v>
      </c>
      <c r="F14" s="54">
        <f t="shared" si="0"/>
        <v>648</v>
      </c>
    </row>
    <row r="15" spans="1:6" ht="63.75" x14ac:dyDescent="0.2">
      <c r="A15" s="52">
        <v>13</v>
      </c>
      <c r="B15" s="53" t="str">
        <f>Item13!B3</f>
        <v>Polpa de cacau 
Embalagem plástica com 100g, 
Com impressão do nome do fabricante, registro no Ministério da Saúde e validade do produto não inferior a 3 meses, contados da data do recebimento definitivo.
Acondicionadas em embalagens com até 30 unidades</v>
      </c>
      <c r="C15" s="52" t="str">
        <f>Item13!C3</f>
        <v>unidade</v>
      </c>
      <c r="D15" s="52">
        <f>Item13!D3</f>
        <v>600</v>
      </c>
      <c r="E15" s="54">
        <f>Item13!E3</f>
        <v>1.66</v>
      </c>
      <c r="F15" s="54">
        <f t="shared" si="0"/>
        <v>996</v>
      </c>
    </row>
    <row r="16" spans="1:6" ht="63.75" x14ac:dyDescent="0.2">
      <c r="A16" s="52">
        <v>14</v>
      </c>
      <c r="B16" s="53" t="str">
        <f>Item14!B3</f>
        <v>Água mineral 
Acondicionada em copos de 200ml. 
Com impressão do nome do fabricante, registro no Ministério da Saúde e validade do produto não inferior a 4 meses, contados da data do recebimento definitivo. 
Embalagem: caixa contendo 48 copos.</v>
      </c>
      <c r="C16" s="52" t="str">
        <f>Item14!C3</f>
        <v>unidade</v>
      </c>
      <c r="D16" s="52">
        <f>Item14!D3</f>
        <v>180000</v>
      </c>
      <c r="E16" s="54">
        <f>Item14!E3</f>
        <v>0.47</v>
      </c>
      <c r="F16" s="54">
        <f t="shared" si="0"/>
        <v>84600</v>
      </c>
    </row>
    <row r="17" spans="1:6" ht="15.75" customHeight="1" x14ac:dyDescent="0.25">
      <c r="A17" s="55"/>
      <c r="B17" s="55"/>
      <c r="C17" s="2" t="s">
        <v>124</v>
      </c>
      <c r="D17" s="2"/>
      <c r="E17" s="2"/>
      <c r="F17" s="56">
        <f>SUM(F3:F16)</f>
        <v>157066.4</v>
      </c>
    </row>
  </sheetData>
  <mergeCells count="2">
    <mergeCell ref="A1:B1"/>
    <mergeCell ref="C17:E17"/>
  </mergeCells>
  <printOptions horizontalCentered="1"/>
  <pageMargins left="0.51180555555555496" right="0.51180555555555496" top="1.6145833333333299" bottom="0.78749999999999998" header="0.51180555555555496" footer="0.51180555555555496"/>
  <pageSetup paperSize="9" firstPageNumber="0" fitToHeight="0" orientation="landscape" horizontalDpi="300" verticalDpi="300" r:id="rId1"/>
  <headerFooter>
    <oddHeader>&amp;CTRIBUNAL REGIONAL ELEITORAL DA BAHIA
Seção de Análise e Aquisições</oddHeader>
  </headerFooter>
  <rowBreaks count="1" manualBreakCount="1">
    <brk id="14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1"/>
  <sheetViews>
    <sheetView view="pageBreakPreview" topLeftCell="A4" zoomScaleNormal="100" workbookViewId="0">
      <selection activeCell="D8" sqref="D8"/>
    </sheetView>
  </sheetViews>
  <sheetFormatPr defaultColWidth="9.140625" defaultRowHeight="12.75" x14ac:dyDescent="0.2"/>
  <cols>
    <col min="1" max="1" width="9.140625" style="47"/>
    <col min="2" max="2" width="73.140625" style="47" customWidth="1"/>
    <col min="3" max="4" width="13.28515625" style="57" customWidth="1"/>
    <col min="5" max="5" width="13.28515625" style="47" customWidth="1"/>
    <col min="6" max="6" width="15.5703125" style="47" customWidth="1"/>
    <col min="7" max="14" width="9.140625" style="48"/>
    <col min="15" max="1024" width="9.140625" style="47"/>
  </cols>
  <sheetData>
    <row r="1" spans="1:6" s="48" customFormat="1" ht="15.75" customHeight="1" x14ac:dyDescent="0.25">
      <c r="A1" s="2" t="s">
        <v>125</v>
      </c>
      <c r="B1" s="2"/>
      <c r="C1" s="2"/>
      <c r="D1" s="2"/>
      <c r="E1" s="2"/>
      <c r="F1" s="2"/>
    </row>
    <row r="2" spans="1:6" s="48" customFormat="1" ht="25.5" x14ac:dyDescent="0.2">
      <c r="A2" s="51" t="s">
        <v>118</v>
      </c>
      <c r="B2" s="51" t="s">
        <v>119</v>
      </c>
      <c r="C2" s="51" t="s">
        <v>120</v>
      </c>
      <c r="D2" s="51" t="s">
        <v>121</v>
      </c>
      <c r="E2" s="51" t="s">
        <v>122</v>
      </c>
      <c r="F2" s="51" t="s">
        <v>123</v>
      </c>
    </row>
    <row r="3" spans="1:6" s="48" customFormat="1" ht="17.25" x14ac:dyDescent="0.2">
      <c r="A3" s="58" t="s">
        <v>126</v>
      </c>
      <c r="B3" s="1" t="str">
        <f>Item1!G20</f>
        <v>COMAPE - COMERCIO DE ALIMENTOS DE PERNAMBUCO LTDA</v>
      </c>
      <c r="C3" s="1"/>
      <c r="D3" s="1"/>
      <c r="E3" s="1"/>
      <c r="F3" s="1"/>
    </row>
    <row r="4" spans="1:6" s="48" customFormat="1" ht="76.5" x14ac:dyDescent="0.2">
      <c r="A4" s="52">
        <v>1</v>
      </c>
      <c r="B4" s="53" t="str">
        <f>Item1!B3</f>
        <v>Açúcar branco granulado, 
Derivado da cana-de-açúcar, 
Embalagem de 1 kg, 
Com impressão do nome do fabricante, registro no Ministério da Saúde e validade do produto não inferior a 11 meses, contados da data do recebimento definitivo.
Acondicionados em sacos com 25 ou 30 pacotes</v>
      </c>
      <c r="C4" s="52" t="str">
        <f>Item1!C3</f>
        <v>quilograma</v>
      </c>
      <c r="D4" s="52">
        <f>Item1!D3</f>
        <v>8000</v>
      </c>
      <c r="E4" s="54">
        <f>Item1!F3</f>
        <v>2.1</v>
      </c>
      <c r="F4" s="54">
        <f>(ROUND(E4,2)*D4)</f>
        <v>16800</v>
      </c>
    </row>
    <row r="5" spans="1:6" s="48" customFormat="1" ht="17.25" x14ac:dyDescent="0.2">
      <c r="A5" s="58" t="s">
        <v>126</v>
      </c>
      <c r="B5" s="1" t="str">
        <f>Item2!G20</f>
        <v>E DE N LOPES RAMOS COM. DE ALIMENTOS EIRELI</v>
      </c>
      <c r="C5" s="1"/>
      <c r="D5" s="1"/>
      <c r="E5" s="1"/>
      <c r="F5" s="1"/>
    </row>
    <row r="6" spans="1:6" ht="102" x14ac:dyDescent="0.2">
      <c r="A6" s="52">
        <v>2</v>
      </c>
      <c r="B6" s="53" t="str">
        <f>Item2!B3</f>
        <v>Leite em pó, 
Integral, 
Granulado, 
Derivado da vaca, 
Lata com 400g, 
Com impressão do nome do fabricante, registro no Ministério da Agricultura e validade do produto não inferior a 9 meses, contados da data do recebimento definitivo.
Acondicionados em caixas com até 24 unidades</v>
      </c>
      <c r="C6" s="52" t="str">
        <f>Item2!C3</f>
        <v>lata</v>
      </c>
      <c r="D6" s="52">
        <f>Item2!D3</f>
        <v>800</v>
      </c>
      <c r="E6" s="54">
        <f>Item2!F3</f>
        <v>9</v>
      </c>
      <c r="F6" s="54">
        <f>(ROUND(E6,2)*D6)</f>
        <v>7200</v>
      </c>
    </row>
    <row r="7" spans="1:6" ht="17.25" x14ac:dyDescent="0.2">
      <c r="A7" s="58" t="s">
        <v>126</v>
      </c>
      <c r="B7" s="1" t="str">
        <f>Item3!G20</f>
        <v>COOPERATIVA DE LATICINIOS SELITA</v>
      </c>
      <c r="C7" s="1"/>
      <c r="D7" s="1"/>
      <c r="E7" s="1"/>
      <c r="F7" s="1"/>
    </row>
    <row r="8" spans="1:6" ht="51" x14ac:dyDescent="0.2">
      <c r="A8" s="52">
        <v>3</v>
      </c>
      <c r="B8" s="53" t="str">
        <f>Item3!B3</f>
        <v>Leite em pó, Desnatado, Granulado, Derivado da vaca, Lata com 300g, Com impressão do nome do fabricante, registro no Ministério da Agricultura e validade do produto não inferior a 9 meses, contados da data do recebimento definitivo.
Acondicionados em caixas com até 24 unidades.</v>
      </c>
      <c r="C8" s="52" t="str">
        <f>Item3!C3</f>
        <v>lata</v>
      </c>
      <c r="D8" s="52">
        <f>Item3!D3</f>
        <v>300</v>
      </c>
      <c r="E8" s="54">
        <f>Item3!F3</f>
        <v>7.35</v>
      </c>
      <c r="F8" s="54">
        <f>(ROUND(E8,2)*D8)</f>
        <v>2205</v>
      </c>
    </row>
    <row r="9" spans="1:6" ht="12.75" customHeight="1" x14ac:dyDescent="0.2">
      <c r="A9" s="58" t="s">
        <v>126</v>
      </c>
      <c r="B9" s="1" t="str">
        <f>Item4!G20</f>
        <v>CARREFOUR</v>
      </c>
      <c r="C9" s="1"/>
      <c r="D9" s="1"/>
      <c r="E9" s="1"/>
      <c r="F9" s="1"/>
    </row>
    <row r="10" spans="1:6" ht="76.5" x14ac:dyDescent="0.2">
      <c r="A10" s="52">
        <v>4</v>
      </c>
      <c r="B10" s="53" t="str">
        <f>Item4!B3</f>
        <v>Adoçante Líquido Dietético, 
À base de aspartame, 
Em embalagem plástica com 65 ml, 
Com impressão do nome do fabricante, registro no Ministério da Saúde e validade do produto não inferior a 11 meses, contados da data do recebimento definitivo.
Acondicionados em caixas com até 30 unidades.</v>
      </c>
      <c r="C10" s="52" t="str">
        <f>Item4!C3</f>
        <v>frasco</v>
      </c>
      <c r="D10" s="52">
        <f>Item4!D3</f>
        <v>180</v>
      </c>
      <c r="E10" s="54">
        <f>Item4!F3</f>
        <v>9.99</v>
      </c>
      <c r="F10" s="54">
        <f>(ROUND(E10,2)*D10)</f>
        <v>1798.2</v>
      </c>
    </row>
    <row r="11" spans="1:6" ht="17.25" x14ac:dyDescent="0.2">
      <c r="A11" s="58" t="s">
        <v>126</v>
      </c>
      <c r="B11" s="1" t="str">
        <f>Item5!G20</f>
        <v>MAX LEAL SOLANO CAVALCANTE</v>
      </c>
      <c r="C11" s="1"/>
      <c r="D11" s="1"/>
      <c r="E11" s="1"/>
      <c r="F11" s="1"/>
    </row>
    <row r="12" spans="1:6" ht="63.75" x14ac:dyDescent="0.2">
      <c r="A12" s="52">
        <v>5</v>
      </c>
      <c r="B12" s="53" t="str">
        <f>Item5!B3</f>
        <v>Água mineral 
Acondicionada em copos de 200ml. 
Com impressão do nome do fabricante, registro no Ministério da Saúde e validade do produto não inferior a 4 meses, contados da data do recebimento definitivo. 
Embalagem: caixa contendo 48 copos.</v>
      </c>
      <c r="C12" s="52" t="str">
        <f>Item5!C3</f>
        <v>unidade</v>
      </c>
      <c r="D12" s="52">
        <f>Item5!D3</f>
        <v>60000</v>
      </c>
      <c r="E12" s="54">
        <f>Item5!F3</f>
        <v>0.36</v>
      </c>
      <c r="F12" s="54">
        <f>(ROUND(E12,2)*D12)</f>
        <v>21600</v>
      </c>
    </row>
    <row r="13" spans="1:6" ht="17.25" x14ac:dyDescent="0.2">
      <c r="A13" s="58" t="s">
        <v>126</v>
      </c>
      <c r="B13" s="1" t="str">
        <f>Item6!G20</f>
        <v>COBEL - COMERCIO DE BEBIDAS EIRELI</v>
      </c>
      <c r="C13" s="1"/>
      <c r="D13" s="1"/>
      <c r="E13" s="1"/>
      <c r="F13" s="1"/>
    </row>
    <row r="14" spans="1:6" ht="76.5" x14ac:dyDescent="0.2">
      <c r="A14" s="52">
        <v>6</v>
      </c>
      <c r="B14" s="53" t="str">
        <f>Item6!B3</f>
        <v>Água mineral 
Sem gás, 
Acondicionada em garrafão plástico transparente, de 20 litros (só o líquido), 
Com impressão do nome do fabricante, registro no Ministério da Saúde e validade do produto não inferior a 03 meses, contados da data do recebimento definitivo.
Fornecimento em vasilhames com máximo de 8 meses de fabricação.</v>
      </c>
      <c r="C14" s="52" t="str">
        <f>Item6!C3</f>
        <v>garrafão</v>
      </c>
      <c r="D14" s="52">
        <f>Item6!D3</f>
        <v>250</v>
      </c>
      <c r="E14" s="54">
        <f>Item6!F3</f>
        <v>4.26</v>
      </c>
      <c r="F14" s="54">
        <f>(ROUND(E14,2)*D14)</f>
        <v>1065</v>
      </c>
    </row>
    <row r="15" spans="1:6" ht="17.25" x14ac:dyDescent="0.2">
      <c r="A15" s="58" t="s">
        <v>126</v>
      </c>
      <c r="B15" s="1" t="str">
        <f>Item7!G20</f>
        <v>LUCIANA C. R. POTON - LARA FRUT POLPAS DE FRUTA</v>
      </c>
      <c r="C15" s="1"/>
      <c r="D15" s="1"/>
      <c r="E15" s="1"/>
      <c r="F15" s="1"/>
    </row>
    <row r="16" spans="1:6" ht="63.75" x14ac:dyDescent="0.2">
      <c r="A16" s="52">
        <v>7</v>
      </c>
      <c r="B16" s="53" t="str">
        <f>Item7!B3</f>
        <v>Polpa de acerola 
Embalagem plástica com 100g, 
Com impressão do nome do fabricante, registro no Ministério da Saúde e validade do produto não inferior a 3 meses, contados da data do recebimento definitivo.
Acondicionadas em embalagens com até 30 unidades</v>
      </c>
      <c r="C16" s="52" t="str">
        <f>Item7!C3</f>
        <v>unidade</v>
      </c>
      <c r="D16" s="52">
        <f>Item7!D3</f>
        <v>600</v>
      </c>
      <c r="E16" s="54">
        <f>Item7!F3</f>
        <v>0.65</v>
      </c>
      <c r="F16" s="54">
        <f>(ROUND(E16,2)*D16)</f>
        <v>390</v>
      </c>
    </row>
    <row r="17" spans="1:6" ht="17.25" x14ac:dyDescent="0.2">
      <c r="A17" s="58" t="s">
        <v>126</v>
      </c>
      <c r="B17" s="1" t="str">
        <f>Item8!G20</f>
        <v>HIPERIDEAL</v>
      </c>
      <c r="C17" s="1"/>
      <c r="D17" s="1"/>
      <c r="E17" s="1"/>
      <c r="F17" s="1"/>
    </row>
    <row r="18" spans="1:6" ht="63.75" x14ac:dyDescent="0.2">
      <c r="A18" s="52">
        <v>8</v>
      </c>
      <c r="B18" s="53" t="str">
        <f>Item8!B3</f>
        <v>Polpa de cajá 
Embalagem plástica com 100g, 
Com impressão do nome do fabricante, registro no Ministério da Saúde e validade do produto não inferior a 3 meses, contados da data do recebimento definitivo.
Acondicionadas em embalagens com até 30 unidades</v>
      </c>
      <c r="C18" s="52" t="str">
        <f>Item8!C3</f>
        <v>unidade</v>
      </c>
      <c r="D18" s="52">
        <f>Item8!D3</f>
        <v>600</v>
      </c>
      <c r="E18" s="54">
        <f>Item8!F3</f>
        <v>0.89</v>
      </c>
      <c r="F18" s="54">
        <f>(ROUND(E18,2)*D18)</f>
        <v>534</v>
      </c>
    </row>
    <row r="19" spans="1:6" ht="17.25" x14ac:dyDescent="0.2">
      <c r="A19" s="58" t="s">
        <v>126</v>
      </c>
      <c r="B19" s="1" t="str">
        <f>Item9!G20</f>
        <v>HIPERIDEAL</v>
      </c>
      <c r="C19" s="1"/>
      <c r="D19" s="1"/>
      <c r="E19" s="1"/>
      <c r="F19" s="1"/>
    </row>
    <row r="20" spans="1:6" ht="63.75" x14ac:dyDescent="0.2">
      <c r="A20" s="52">
        <v>9</v>
      </c>
      <c r="B20" s="53" t="str">
        <f>Item9!B3</f>
        <v>Polpa de goiaba 
Embalagem plástica com 100g, 
Com impressão do nome do fabricante, registro no Ministério da Saúde e validade do produto não inferior a 3 meses, contados da data do recebimento definitivo.
Acondicionadas em embalagens com até 30 unidades</v>
      </c>
      <c r="C20" s="52" t="str">
        <f>Item9!C3</f>
        <v>unidade</v>
      </c>
      <c r="D20" s="52">
        <f>Item9!D3</f>
        <v>600</v>
      </c>
      <c r="E20" s="54">
        <f>Item9!F3</f>
        <v>0.89</v>
      </c>
      <c r="F20" s="54">
        <f>(ROUND(E20,2)*D20)</f>
        <v>534</v>
      </c>
    </row>
    <row r="21" spans="1:6" ht="17.25" x14ac:dyDescent="0.2">
      <c r="A21" s="58" t="s">
        <v>126</v>
      </c>
      <c r="B21" s="1" t="str">
        <f>Item10!G20</f>
        <v>M S ZOPELARI DISTRIBUIDORA DE ALIMENTOS EIRELI</v>
      </c>
      <c r="C21" s="1"/>
      <c r="D21" s="1"/>
      <c r="E21" s="1"/>
      <c r="F21" s="1"/>
    </row>
    <row r="22" spans="1:6" ht="63.75" x14ac:dyDescent="0.2">
      <c r="A22" s="52">
        <v>10</v>
      </c>
      <c r="B22" s="53" t="str">
        <f>Item10!B3</f>
        <v>Polpa de manga 
Embalagem plástica com 100g, 
Com impressão do nome do fabricante, registro no Ministério da Saúde e validade do produto não inferior a 3 meses, contados da data do recebimento definitivo.
Acondicionadas em embalagens com até 30 unidades</v>
      </c>
      <c r="C22" s="52" t="str">
        <f>Item10!C3</f>
        <v>unidade</v>
      </c>
      <c r="D22" s="52">
        <f>Item10!D3</f>
        <v>600</v>
      </c>
      <c r="E22" s="54">
        <f>Item10!F3</f>
        <v>0.56000000000000005</v>
      </c>
      <c r="F22" s="54">
        <f>(ROUND(E22,2)*D22)</f>
        <v>336.00000000000006</v>
      </c>
    </row>
    <row r="23" spans="1:6" ht="17.25" x14ac:dyDescent="0.2">
      <c r="A23" s="58" t="s">
        <v>126</v>
      </c>
      <c r="B23" s="1" t="str">
        <f>Item11!G20</f>
        <v>LUCIANA C. R. POTON - LARA FRUT POLPAS DE FRUTA</v>
      </c>
      <c r="C23" s="1"/>
      <c r="D23" s="1"/>
      <c r="E23" s="1"/>
      <c r="F23" s="1"/>
    </row>
    <row r="24" spans="1:6" ht="63.75" x14ac:dyDescent="0.2">
      <c r="A24" s="52">
        <v>11</v>
      </c>
      <c r="B24" s="53" t="str">
        <f>Item11!B3</f>
        <v>Polpa de maracujá 
Embalagem plástica com 100g, 
Com impressão do nome do fabricante, registro no Ministério da Saúde e validade do produto não inferior a 3 meses, contados da data do recebimento definitivo.
Acondicionadas em embalagens com até 30 unidades</v>
      </c>
      <c r="C24" s="52" t="str">
        <f>Item11!C3</f>
        <v>unidade</v>
      </c>
      <c r="D24" s="52">
        <f>Item11!D3</f>
        <v>600</v>
      </c>
      <c r="E24" s="54">
        <f>Item11!F3</f>
        <v>1.05</v>
      </c>
      <c r="F24" s="54">
        <f>(ROUND(E24,2)*D24)</f>
        <v>630</v>
      </c>
    </row>
    <row r="25" spans="1:6" ht="17.25" x14ac:dyDescent="0.2">
      <c r="A25" s="58" t="s">
        <v>126</v>
      </c>
      <c r="B25" s="1" t="str">
        <f>Item12!G20</f>
        <v>LUCIANA C. R. POTON - LARA FRUT POLPAS DE FRUTA</v>
      </c>
      <c r="C25" s="1"/>
      <c r="D25" s="1"/>
      <c r="E25" s="1"/>
      <c r="F25" s="1"/>
    </row>
    <row r="26" spans="1:6" ht="63.75" x14ac:dyDescent="0.2">
      <c r="A26" s="52">
        <v>12</v>
      </c>
      <c r="B26" s="53" t="str">
        <f>Item12!B3</f>
        <v>Polpa de morango 
Embalagem plástica com 100g, 
Com impressão do nome do fabricante, registro no Ministério da Saúde e validade do produto não inferior a 3 meses, contados da data do recebimento definitivo.
Acondicionadas em embalagens com até 30 unidades</v>
      </c>
      <c r="C26" s="52" t="str">
        <f>Item12!C3</f>
        <v>unidade</v>
      </c>
      <c r="D26" s="52">
        <f>Item12!D3</f>
        <v>600</v>
      </c>
      <c r="E26" s="54">
        <f>Item12!F3</f>
        <v>0.9</v>
      </c>
      <c r="F26" s="54">
        <f>(ROUND(E26,2)*D26)</f>
        <v>540</v>
      </c>
    </row>
    <row r="27" spans="1:6" ht="17.25" x14ac:dyDescent="0.2">
      <c r="A27" s="58" t="s">
        <v>126</v>
      </c>
      <c r="B27" s="1" t="str">
        <f>Item13!G20</f>
        <v>HIPERIDEAL</v>
      </c>
      <c r="C27" s="1"/>
      <c r="D27" s="1"/>
      <c r="E27" s="1"/>
      <c r="F27" s="1"/>
    </row>
    <row r="28" spans="1:6" ht="63.75" x14ac:dyDescent="0.2">
      <c r="A28" s="52">
        <v>13</v>
      </c>
      <c r="B28" s="53" t="str">
        <f>Item13!B3</f>
        <v>Polpa de cacau 
Embalagem plástica com 100g, 
Com impressão do nome do fabricante, registro no Ministério da Saúde e validade do produto não inferior a 3 meses, contados da data do recebimento definitivo.
Acondicionadas em embalagens com até 30 unidades</v>
      </c>
      <c r="C28" s="52" t="str">
        <f>Item13!C3</f>
        <v>unidade</v>
      </c>
      <c r="D28" s="52">
        <f>Item13!D3</f>
        <v>600</v>
      </c>
      <c r="E28" s="54">
        <f>Item13!F3</f>
        <v>0.89</v>
      </c>
      <c r="F28" s="54">
        <f>(ROUND(E28,2)*D28)</f>
        <v>534</v>
      </c>
    </row>
    <row r="29" spans="1:6" ht="17.25" x14ac:dyDescent="0.2">
      <c r="A29" s="58" t="s">
        <v>126</v>
      </c>
      <c r="B29" s="1" t="str">
        <f>Item14!G20</f>
        <v>MAX LEAL SOLANO CAVALCANTE</v>
      </c>
      <c r="C29" s="1"/>
      <c r="D29" s="1"/>
      <c r="E29" s="1"/>
      <c r="F29" s="1"/>
    </row>
    <row r="30" spans="1:6" ht="63.75" x14ac:dyDescent="0.2">
      <c r="A30" s="52">
        <v>14</v>
      </c>
      <c r="B30" s="53" t="str">
        <f>Item14!B3</f>
        <v>Água mineral 
Acondicionada em copos de 200ml. 
Com impressão do nome do fabricante, registro no Ministério da Saúde e validade do produto não inferior a 4 meses, contados da data do recebimento definitivo. 
Embalagem: caixa contendo 48 copos.</v>
      </c>
      <c r="C30" s="52" t="str">
        <f>Item14!C3</f>
        <v>unidade</v>
      </c>
      <c r="D30" s="52">
        <f>Item14!D3</f>
        <v>180000</v>
      </c>
      <c r="E30" s="54">
        <f>Item14!F3</f>
        <v>0.36</v>
      </c>
      <c r="F30" s="54">
        <f>(ROUND(E30,2)*D30)</f>
        <v>64800</v>
      </c>
    </row>
    <row r="31" spans="1:6" ht="15.75" customHeight="1" x14ac:dyDescent="0.25">
      <c r="A31" s="55"/>
      <c r="B31" s="55"/>
      <c r="C31" s="2" t="s">
        <v>127</v>
      </c>
      <c r="D31" s="2"/>
      <c r="E31" s="2"/>
      <c r="F31" s="56">
        <f>SUM(F4:F30)</f>
        <v>118966.2</v>
      </c>
    </row>
  </sheetData>
  <mergeCells count="16">
    <mergeCell ref="C31:E31"/>
    <mergeCell ref="B21:F21"/>
    <mergeCell ref="B23:F23"/>
    <mergeCell ref="B25:F25"/>
    <mergeCell ref="B27:F27"/>
    <mergeCell ref="B29:F29"/>
    <mergeCell ref="B11:F11"/>
    <mergeCell ref="B13:F13"/>
    <mergeCell ref="B15:F15"/>
    <mergeCell ref="B17:F17"/>
    <mergeCell ref="B19:F19"/>
    <mergeCell ref="A1:F1"/>
    <mergeCell ref="B3:F3"/>
    <mergeCell ref="B5:F5"/>
    <mergeCell ref="B7:F7"/>
    <mergeCell ref="B9:F9"/>
  </mergeCells>
  <printOptions horizontalCentered="1"/>
  <pageMargins left="0.51180555555555496" right="0.51180555555555496" top="1.6145833333333299" bottom="0.78749999999999998" header="0.51180555555555496" footer="0.51180555555555496"/>
  <pageSetup paperSize="9" firstPageNumber="0" fitToHeight="0" orientation="landscape" horizontalDpi="300" verticalDpi="300" r:id="rId1"/>
  <headerFooter>
    <oddHeader>&amp;CTRIBUNAL REGIONAL ELEITORAL DA BAHIA
Seção de Análise e Aquisições</oddHeader>
  </headerFooter>
  <rowBreaks count="3" manualBreakCount="3">
    <brk id="10" max="16383" man="1"/>
    <brk id="20" max="16383" man="1"/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F31" sqref="F31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38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39</v>
      </c>
      <c r="C3" s="10" t="s">
        <v>40</v>
      </c>
      <c r="D3" s="9">
        <v>800</v>
      </c>
      <c r="E3" s="8">
        <f>IF(C20&lt;=25%,D20,MIN(E20:F20))</f>
        <v>11.91</v>
      </c>
      <c r="F3" s="8">
        <f>MIN(H3:H17)</f>
        <v>9</v>
      </c>
      <c r="G3" s="19" t="s">
        <v>41</v>
      </c>
      <c r="H3" s="20">
        <v>9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42</v>
      </c>
      <c r="H4" s="20">
        <v>9.08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12</v>
      </c>
      <c r="H5" s="20">
        <v>9.4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43</v>
      </c>
      <c r="H6" s="20">
        <v>9.68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 t="s">
        <v>44</v>
      </c>
      <c r="H7" s="20">
        <v>9.9600000000000009</v>
      </c>
      <c r="I7" s="21" t="str">
        <f t="shared" si="0"/>
        <v>N/A</v>
      </c>
    </row>
    <row r="8" spans="1:9" x14ac:dyDescent="0.2">
      <c r="A8" s="12"/>
      <c r="B8" s="11"/>
      <c r="C8" s="10"/>
      <c r="D8" s="9"/>
      <c r="E8" s="8"/>
      <c r="F8" s="8"/>
      <c r="G8" s="19" t="s">
        <v>45</v>
      </c>
      <c r="H8" s="20">
        <v>10.06</v>
      </c>
      <c r="I8" s="21" t="str">
        <f t="shared" si="0"/>
        <v>N/A</v>
      </c>
    </row>
    <row r="9" spans="1:9" x14ac:dyDescent="0.2">
      <c r="A9" s="12"/>
      <c r="B9" s="11"/>
      <c r="C9" s="10"/>
      <c r="D9" s="9"/>
      <c r="E9" s="8"/>
      <c r="F9" s="8"/>
      <c r="G9" s="19" t="s">
        <v>46</v>
      </c>
      <c r="H9" s="20">
        <v>10.14</v>
      </c>
      <c r="I9" s="21" t="str">
        <f t="shared" si="0"/>
        <v>N/A</v>
      </c>
    </row>
    <row r="10" spans="1:9" x14ac:dyDescent="0.2">
      <c r="A10" s="12"/>
      <c r="B10" s="11"/>
      <c r="C10" s="10"/>
      <c r="D10" s="9"/>
      <c r="E10" s="8"/>
      <c r="F10" s="8"/>
      <c r="G10" s="19" t="s">
        <v>47</v>
      </c>
      <c r="H10" s="20">
        <v>11</v>
      </c>
      <c r="I10" s="21" t="str">
        <f t="shared" si="0"/>
        <v>N/A</v>
      </c>
    </row>
    <row r="11" spans="1:9" x14ac:dyDescent="0.2">
      <c r="A11" s="12"/>
      <c r="B11" s="11"/>
      <c r="C11" s="10"/>
      <c r="D11" s="9"/>
      <c r="E11" s="8"/>
      <c r="F11" s="8"/>
      <c r="G11" s="19" t="s">
        <v>48</v>
      </c>
      <c r="H11" s="20">
        <v>11.75</v>
      </c>
      <c r="I11" s="21" t="str">
        <f t="shared" si="0"/>
        <v>N/A</v>
      </c>
    </row>
    <row r="12" spans="1:9" x14ac:dyDescent="0.2">
      <c r="A12" s="12"/>
      <c r="B12" s="11"/>
      <c r="C12" s="10"/>
      <c r="D12" s="9"/>
      <c r="E12" s="8"/>
      <c r="F12" s="8"/>
      <c r="G12" s="19" t="s">
        <v>49</v>
      </c>
      <c r="H12" s="20">
        <v>12.11</v>
      </c>
      <c r="I12" s="21" t="str">
        <f t="shared" si="0"/>
        <v>N/A</v>
      </c>
    </row>
    <row r="13" spans="1:9" x14ac:dyDescent="0.2">
      <c r="A13" s="12"/>
      <c r="B13" s="11"/>
      <c r="C13" s="10"/>
      <c r="D13" s="9"/>
      <c r="E13" s="8"/>
      <c r="F13" s="8"/>
      <c r="G13" s="19" t="s">
        <v>50</v>
      </c>
      <c r="H13" s="20">
        <v>14.47</v>
      </c>
      <c r="I13" s="21" t="str">
        <f t="shared" si="0"/>
        <v>N/A</v>
      </c>
    </row>
    <row r="14" spans="1:9" x14ac:dyDescent="0.2">
      <c r="A14" s="12"/>
      <c r="B14" s="11"/>
      <c r="C14" s="10"/>
      <c r="D14" s="9"/>
      <c r="E14" s="8"/>
      <c r="F14" s="8"/>
      <c r="G14" s="19" t="s">
        <v>51</v>
      </c>
      <c r="H14" s="20">
        <v>15</v>
      </c>
      <c r="I14" s="21" t="str">
        <f t="shared" si="0"/>
        <v>N/A</v>
      </c>
    </row>
    <row r="15" spans="1:9" x14ac:dyDescent="0.2">
      <c r="A15" s="12"/>
      <c r="B15" s="11"/>
      <c r="C15" s="10"/>
      <c r="D15" s="9"/>
      <c r="E15" s="8"/>
      <c r="F15" s="8"/>
      <c r="G15" s="19" t="s">
        <v>52</v>
      </c>
      <c r="H15" s="20">
        <v>16.09</v>
      </c>
      <c r="I15" s="21" t="str">
        <f t="shared" si="0"/>
        <v>N/A</v>
      </c>
    </row>
    <row r="16" spans="1:9" x14ac:dyDescent="0.2">
      <c r="A16" s="12"/>
      <c r="B16" s="11"/>
      <c r="C16" s="10"/>
      <c r="D16" s="9"/>
      <c r="E16" s="8"/>
      <c r="F16" s="8"/>
      <c r="G16" s="19" t="s">
        <v>53</v>
      </c>
      <c r="H16" s="20">
        <v>16.29</v>
      </c>
      <c r="I16" s="21" t="str">
        <f t="shared" si="0"/>
        <v>N/A</v>
      </c>
    </row>
    <row r="17" spans="1:11" x14ac:dyDescent="0.2">
      <c r="A17" s="12"/>
      <c r="B17" s="11"/>
      <c r="C17" s="10"/>
      <c r="D17" s="9"/>
      <c r="E17" s="8"/>
      <c r="F17" s="8"/>
      <c r="G17" s="19" t="s">
        <v>54</v>
      </c>
      <c r="H17" s="20">
        <v>14.56</v>
      </c>
      <c r="I17" s="21" t="str">
        <f t="shared" si="0"/>
        <v>N/A</v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22</v>
      </c>
      <c r="B19" s="18" t="s">
        <v>23</v>
      </c>
      <c r="C19" s="17" t="s">
        <v>24</v>
      </c>
      <c r="D19" s="29" t="s">
        <v>25</v>
      </c>
      <c r="E19" s="30" t="s">
        <v>26</v>
      </c>
      <c r="F19" s="29" t="s">
        <v>27</v>
      </c>
      <c r="G19" s="7" t="s">
        <v>28</v>
      </c>
      <c r="H19" s="7"/>
      <c r="I19" s="31"/>
    </row>
    <row r="20" spans="1:11" x14ac:dyDescent="0.2">
      <c r="A20" s="32">
        <f>IF(B20&lt;2,"N/A",(STDEV(H3:H17)))</f>
        <v>2.6562911845546791</v>
      </c>
      <c r="B20" s="32">
        <f>COUNT(H3:H17)</f>
        <v>15</v>
      </c>
      <c r="C20" s="33">
        <f>IF(B20&lt;2,"N/A",(A20/D20))</f>
        <v>0.22303032615908305</v>
      </c>
      <c r="D20" s="34">
        <f>ROUND(AVERAGE(H3:H17),2)</f>
        <v>11.91</v>
      </c>
      <c r="E20" s="35" t="str">
        <f>IFERROR(ROUND(IF(B20&lt;2,"N/A",(IF(C20&lt;=25%,"N/A",AVERAGE(I3:I17)))),2),"N/A")</f>
        <v>N/A</v>
      </c>
      <c r="F20" s="35">
        <f>ROUND(MEDIAN(H3:H17),2)</f>
        <v>11</v>
      </c>
      <c r="G20" s="36" t="str">
        <f>INDEX(G3:G17,MATCH(H20,H3:H17,0))</f>
        <v>E DE N LOPES RAMOS COM. DE ALIMENTOS EIRELI</v>
      </c>
      <c r="H20" s="37">
        <f>MIN(H3:H17)</f>
        <v>9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29</v>
      </c>
      <c r="H22" s="45">
        <f>IF(C20&lt;=25%,D20,MIN(E20:F20))</f>
        <v>11.91</v>
      </c>
    </row>
    <row r="23" spans="1:11" x14ac:dyDescent="0.2">
      <c r="B23" s="38"/>
      <c r="C23" s="38"/>
      <c r="D23" s="6"/>
      <c r="E23" s="6"/>
      <c r="F23" s="46"/>
      <c r="G23" s="17" t="s">
        <v>30</v>
      </c>
      <c r="H23" s="37">
        <f>ROUND(H22,2)*D3</f>
        <v>9528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31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32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33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34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35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36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37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1.6215277777777799" bottom="0.78749999999999998" header="0.51180555555555496" footer="0.51180555555555496"/>
  <pageSetup paperSize="9" scale="92" firstPageNumber="0" orientation="landscape" horizontalDpi="300" verticalDpi="300" r:id="rId1"/>
  <headerFooter>
    <oddHeader>&amp;CTRIBUNAL REGIONAL ELEITORAL DA BAHIA
Seção de Análise e Aquisições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D18" sqref="D18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55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56</v>
      </c>
      <c r="C3" s="10" t="s">
        <v>40</v>
      </c>
      <c r="D3" s="9">
        <v>300</v>
      </c>
      <c r="E3" s="8">
        <f>IF(C20&lt;=25%,D20,MIN(E20:F20))</f>
        <v>9.75</v>
      </c>
      <c r="F3" s="8">
        <f>MIN(H3:H17)</f>
        <v>7.35</v>
      </c>
      <c r="G3" s="19" t="s">
        <v>57</v>
      </c>
      <c r="H3" s="20">
        <v>7.35</v>
      </c>
      <c r="I3" s="21">
        <f t="shared" ref="I3:I17" si="0">IF(H3="","",(IF($C$20&lt;25%,"N/A",IF(H3&lt;=($D$20+$A$20),H3,"Descartado"))))</f>
        <v>7.35</v>
      </c>
    </row>
    <row r="4" spans="1:9" x14ac:dyDescent="0.2">
      <c r="A4" s="12"/>
      <c r="B4" s="11"/>
      <c r="C4" s="10"/>
      <c r="D4" s="9"/>
      <c r="E4" s="8"/>
      <c r="F4" s="8"/>
      <c r="G4" s="19" t="s">
        <v>58</v>
      </c>
      <c r="H4" s="20">
        <v>8.6999999999999993</v>
      </c>
      <c r="I4" s="21">
        <f t="shared" si="0"/>
        <v>8.6999999999999993</v>
      </c>
    </row>
    <row r="5" spans="1:9" x14ac:dyDescent="0.2">
      <c r="A5" s="12"/>
      <c r="B5" s="11"/>
      <c r="C5" s="10"/>
      <c r="D5" s="9"/>
      <c r="E5" s="8"/>
      <c r="F5" s="8"/>
      <c r="G5" s="19" t="s">
        <v>46</v>
      </c>
      <c r="H5" s="20">
        <v>10.69</v>
      </c>
      <c r="I5" s="21">
        <f t="shared" si="0"/>
        <v>10.69</v>
      </c>
    </row>
    <row r="6" spans="1:9" x14ac:dyDescent="0.2">
      <c r="A6" s="12"/>
      <c r="B6" s="11"/>
      <c r="C6" s="10"/>
      <c r="D6" s="9"/>
      <c r="E6" s="8"/>
      <c r="F6" s="8"/>
      <c r="G6" s="19" t="s">
        <v>59</v>
      </c>
      <c r="H6" s="20">
        <v>16.5</v>
      </c>
      <c r="I6" s="21" t="str">
        <f t="shared" si="0"/>
        <v>Descartado</v>
      </c>
    </row>
    <row r="7" spans="1:9" x14ac:dyDescent="0.2">
      <c r="A7" s="12"/>
      <c r="B7" s="11"/>
      <c r="C7" s="10"/>
      <c r="D7" s="9"/>
      <c r="E7" s="8"/>
      <c r="F7" s="8"/>
      <c r="G7" s="19" t="s">
        <v>60</v>
      </c>
      <c r="H7" s="20">
        <v>13</v>
      </c>
      <c r="I7" s="21">
        <f t="shared" si="0"/>
        <v>13</v>
      </c>
    </row>
    <row r="8" spans="1:9" x14ac:dyDescent="0.2">
      <c r="A8" s="12"/>
      <c r="B8" s="11"/>
      <c r="C8" s="10"/>
      <c r="D8" s="9"/>
      <c r="E8" s="8"/>
      <c r="F8" s="8"/>
      <c r="G8" s="19" t="s">
        <v>61</v>
      </c>
      <c r="H8" s="20">
        <v>8.99</v>
      </c>
      <c r="I8" s="21">
        <f t="shared" si="0"/>
        <v>8.99</v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22</v>
      </c>
      <c r="B19" s="18" t="s">
        <v>23</v>
      </c>
      <c r="C19" s="17" t="s">
        <v>24</v>
      </c>
      <c r="D19" s="29" t="s">
        <v>25</v>
      </c>
      <c r="E19" s="30" t="s">
        <v>26</v>
      </c>
      <c r="F19" s="29" t="s">
        <v>27</v>
      </c>
      <c r="G19" s="7" t="s">
        <v>28</v>
      </c>
      <c r="H19" s="7"/>
      <c r="I19" s="31"/>
    </row>
    <row r="20" spans="1:11" x14ac:dyDescent="0.2">
      <c r="A20" s="32">
        <f>IF(B20&lt;2,"N/A",(STDEV(H3:H17)))</f>
        <v>3.3734221002813594</v>
      </c>
      <c r="B20" s="32">
        <f>COUNT(H3:H17)</f>
        <v>6</v>
      </c>
      <c r="C20" s="33">
        <f>IF(B20&lt;2,"N/A",(A20/D20))</f>
        <v>0.31034241952910391</v>
      </c>
      <c r="D20" s="34">
        <f>ROUND(AVERAGE(H3:H17),2)</f>
        <v>10.87</v>
      </c>
      <c r="E20" s="35">
        <f>IFERROR(ROUND(IF(B20&lt;2,"N/A",(IF(C20&lt;=25%,"N/A",AVERAGE(I3:I17)))),2),"N/A")</f>
        <v>9.75</v>
      </c>
      <c r="F20" s="35">
        <f>ROUND(MEDIAN(H3:H17),2)</f>
        <v>9.84</v>
      </c>
      <c r="G20" s="36" t="str">
        <f>INDEX(G3:G17,MATCH(H20,H3:H17,0))</f>
        <v>COOPERATIVA DE LATICINIOS SELITA</v>
      </c>
      <c r="H20" s="37">
        <f>MIN(H3:H17)</f>
        <v>7.35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29</v>
      </c>
      <c r="H22" s="45">
        <f>IF(C20&lt;=25%,D20,MIN(E20:F20))</f>
        <v>9.75</v>
      </c>
    </row>
    <row r="23" spans="1:11" x14ac:dyDescent="0.2">
      <c r="B23" s="38"/>
      <c r="C23" s="38"/>
      <c r="D23" s="6"/>
      <c r="E23" s="6"/>
      <c r="F23" s="46"/>
      <c r="G23" s="17" t="s">
        <v>30</v>
      </c>
      <c r="H23" s="37">
        <f>ROUND(H22,2)*D3</f>
        <v>2925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31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32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33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34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35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36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37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1.6215277777777799" bottom="0.78749999999999998" header="0.51180555555555496" footer="0.51180555555555496"/>
  <pageSetup paperSize="9" scale="92" firstPageNumber="0" orientation="landscape" horizontalDpi="300" verticalDpi="300" r:id="rId1"/>
  <headerFooter>
    <oddHeader>&amp;CTRIBUNAL REGIONAL ELEITORAL DA BAHIA
Seção de Análise e Aquisições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F31" sqref="F31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62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63</v>
      </c>
      <c r="C3" s="10" t="s">
        <v>64</v>
      </c>
      <c r="D3" s="9">
        <v>180</v>
      </c>
      <c r="E3" s="8">
        <f>IF(C20&lt;=25%,D20,MIN(E20:F20))</f>
        <v>12.18</v>
      </c>
      <c r="F3" s="8">
        <f>MIN(H3:H17)</f>
        <v>9.99</v>
      </c>
      <c r="G3" s="19" t="s">
        <v>60</v>
      </c>
      <c r="H3" s="20">
        <v>9.99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65</v>
      </c>
      <c r="H4" s="20">
        <v>13.2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66</v>
      </c>
      <c r="H5" s="20">
        <v>10.039999999999999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67</v>
      </c>
      <c r="H6" s="20">
        <v>15.5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22</v>
      </c>
      <c r="B19" s="18" t="s">
        <v>23</v>
      </c>
      <c r="C19" s="17" t="s">
        <v>24</v>
      </c>
      <c r="D19" s="29" t="s">
        <v>25</v>
      </c>
      <c r="E19" s="30" t="s">
        <v>26</v>
      </c>
      <c r="F19" s="29" t="s">
        <v>27</v>
      </c>
      <c r="G19" s="7" t="s">
        <v>28</v>
      </c>
      <c r="H19" s="7"/>
      <c r="I19" s="31"/>
    </row>
    <row r="20" spans="1:11" x14ac:dyDescent="0.2">
      <c r="A20" s="32">
        <f>IF(B20&lt;2,"N/A",(STDEV(H3:H17)))</f>
        <v>2.6732299439691576</v>
      </c>
      <c r="B20" s="32">
        <f>COUNT(H3:H17)</f>
        <v>4</v>
      </c>
      <c r="C20" s="33">
        <f>IF(B20&lt;2,"N/A",(A20/D20))</f>
        <v>0.2194770068940195</v>
      </c>
      <c r="D20" s="34">
        <f>ROUND(AVERAGE(H3:H17),2)</f>
        <v>12.18</v>
      </c>
      <c r="E20" s="35" t="str">
        <f>IFERROR(ROUND(IF(B20&lt;2,"N/A",(IF(C20&lt;=25%,"N/A",AVERAGE(I3:I17)))),2),"N/A")</f>
        <v>N/A</v>
      </c>
      <c r="F20" s="35">
        <f>ROUND(MEDIAN(H3:H17),2)</f>
        <v>11.62</v>
      </c>
      <c r="G20" s="36" t="str">
        <f>INDEX(G3:G17,MATCH(H20,H3:H17,0))</f>
        <v>CARREFOUR</v>
      </c>
      <c r="H20" s="37">
        <f>MIN(H3:H17)</f>
        <v>9.99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29</v>
      </c>
      <c r="H22" s="45">
        <f>IF(C20&lt;=25%,D20,MIN(E20:F20))</f>
        <v>12.18</v>
      </c>
    </row>
    <row r="23" spans="1:11" x14ac:dyDescent="0.2">
      <c r="B23" s="38"/>
      <c r="C23" s="38"/>
      <c r="D23" s="6"/>
      <c r="E23" s="6"/>
      <c r="F23" s="46"/>
      <c r="G23" s="17" t="s">
        <v>30</v>
      </c>
      <c r="H23" s="37">
        <f>ROUND(H22,2)*D3</f>
        <v>2192.4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31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32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33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34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35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36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37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1.6215277777777799" bottom="0.78749999999999998" header="0.51180555555555496" footer="0.51180555555555496"/>
  <pageSetup paperSize="9" scale="92" firstPageNumber="0" orientation="landscape" horizontalDpi="300" verticalDpi="300" r:id="rId1"/>
  <headerFooter>
    <oddHeader>&amp;CTRIBUNAL REGIONAL ELEITORAL DA BAHIA
Seção de Análise e Aquisições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3" sqref="G3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68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69</v>
      </c>
      <c r="C3" s="10" t="s">
        <v>70</v>
      </c>
      <c r="D3" s="9">
        <v>60000</v>
      </c>
      <c r="E3" s="8">
        <f>IF(C20&lt;=25%,D20,MIN(E20:F20))</f>
        <v>0.47</v>
      </c>
      <c r="F3" s="8">
        <f>MIN(H3:H17)</f>
        <v>0.36</v>
      </c>
      <c r="G3" s="19" t="s">
        <v>71</v>
      </c>
      <c r="H3" s="20">
        <f>0.36</f>
        <v>0.36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72</v>
      </c>
      <c r="H4" s="20">
        <v>0.41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73</v>
      </c>
      <c r="H5" s="20">
        <v>0.48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74</v>
      </c>
      <c r="H6" s="20">
        <v>0.48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 t="s">
        <v>75</v>
      </c>
      <c r="H7" s="20">
        <v>0.48</v>
      </c>
      <c r="I7" s="21" t="str">
        <f t="shared" si="0"/>
        <v>N/A</v>
      </c>
    </row>
    <row r="8" spans="1:9" x14ac:dyDescent="0.2">
      <c r="A8" s="12"/>
      <c r="B8" s="11"/>
      <c r="C8" s="10"/>
      <c r="D8" s="9"/>
      <c r="E8" s="8"/>
      <c r="F8" s="8"/>
      <c r="G8" s="19" t="s">
        <v>76</v>
      </c>
      <c r="H8" s="20">
        <v>0.49</v>
      </c>
      <c r="I8" s="21" t="str">
        <f t="shared" si="0"/>
        <v>N/A</v>
      </c>
    </row>
    <row r="9" spans="1:9" x14ac:dyDescent="0.2">
      <c r="A9" s="12"/>
      <c r="B9" s="11"/>
      <c r="C9" s="10"/>
      <c r="D9" s="9"/>
      <c r="E9" s="8"/>
      <c r="F9" s="8"/>
      <c r="G9" s="19" t="s">
        <v>77</v>
      </c>
      <c r="H9" s="20">
        <v>0.49</v>
      </c>
      <c r="I9" s="21" t="str">
        <f t="shared" si="0"/>
        <v>N/A</v>
      </c>
    </row>
    <row r="10" spans="1:9" x14ac:dyDescent="0.2">
      <c r="A10" s="12"/>
      <c r="B10" s="11"/>
      <c r="C10" s="10"/>
      <c r="D10" s="9"/>
      <c r="E10" s="8"/>
      <c r="F10" s="8"/>
      <c r="G10" s="19" t="s">
        <v>78</v>
      </c>
      <c r="H10" s="20">
        <f>22/48</f>
        <v>0.45833333333333331</v>
      </c>
      <c r="I10" s="21" t="str">
        <f t="shared" si="0"/>
        <v>N/A</v>
      </c>
    </row>
    <row r="11" spans="1:9" x14ac:dyDescent="0.2">
      <c r="A11" s="12"/>
      <c r="B11" s="11"/>
      <c r="C11" s="10"/>
      <c r="D11" s="9"/>
      <c r="E11" s="8"/>
      <c r="F11" s="8"/>
      <c r="G11" s="19" t="s">
        <v>52</v>
      </c>
      <c r="H11" s="20">
        <f>29.98/48</f>
        <v>0.62458333333333338</v>
      </c>
      <c r="I11" s="21" t="str">
        <f t="shared" si="0"/>
        <v>N/A</v>
      </c>
    </row>
    <row r="12" spans="1:9" x14ac:dyDescent="0.2">
      <c r="A12" s="12"/>
      <c r="B12" s="11"/>
      <c r="C12" s="10"/>
      <c r="D12" s="9"/>
      <c r="E12" s="8"/>
      <c r="F12" s="8"/>
      <c r="G12" s="19" t="s">
        <v>79</v>
      </c>
      <c r="H12" s="20">
        <f>22.3/48</f>
        <v>0.46458333333333335</v>
      </c>
      <c r="I12" s="21" t="str">
        <f t="shared" si="0"/>
        <v>N/A</v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22</v>
      </c>
      <c r="B19" s="18" t="s">
        <v>23</v>
      </c>
      <c r="C19" s="17" t="s">
        <v>24</v>
      </c>
      <c r="D19" s="29" t="s">
        <v>25</v>
      </c>
      <c r="E19" s="30" t="s">
        <v>26</v>
      </c>
      <c r="F19" s="29" t="s">
        <v>27</v>
      </c>
      <c r="G19" s="7" t="s">
        <v>28</v>
      </c>
      <c r="H19" s="7"/>
      <c r="I19" s="31"/>
    </row>
    <row r="20" spans="1:11" x14ac:dyDescent="0.2">
      <c r="A20" s="32">
        <f>IF(B20&lt;2,"N/A",(STDEV(H3:H17)))</f>
        <v>6.7264678970741662E-2</v>
      </c>
      <c r="B20" s="32">
        <f>COUNT(H3:H17)</f>
        <v>10</v>
      </c>
      <c r="C20" s="33">
        <f>IF(B20&lt;2,"N/A",(A20/D20))</f>
        <v>0.14311633823562056</v>
      </c>
      <c r="D20" s="34">
        <f>ROUND(AVERAGE(H3:H17),2)</f>
        <v>0.47</v>
      </c>
      <c r="E20" s="35" t="str">
        <f>IFERROR(ROUND(IF(B20&lt;2,"N/A",(IF(C20&lt;=25%,"N/A",AVERAGE(I3:I17)))),2),"N/A")</f>
        <v>N/A</v>
      </c>
      <c r="F20" s="35">
        <f>ROUND(MEDIAN(H3:H17),2)</f>
        <v>0.48</v>
      </c>
      <c r="G20" s="36" t="str">
        <f>INDEX(G3:G17,MATCH(H20,H3:H17,0))</f>
        <v>MAX LEAL SOLANO CAVALCANTE</v>
      </c>
      <c r="H20" s="37">
        <f>MIN(H3:H17)</f>
        <v>0.36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29</v>
      </c>
      <c r="H22" s="45">
        <f>IF(C20&lt;=25%,D20,MIN(E20:F20))</f>
        <v>0.47</v>
      </c>
    </row>
    <row r="23" spans="1:11" x14ac:dyDescent="0.2">
      <c r="B23" s="38"/>
      <c r="C23" s="38"/>
      <c r="D23" s="6"/>
      <c r="E23" s="6"/>
      <c r="F23" s="46"/>
      <c r="G23" s="17" t="s">
        <v>30</v>
      </c>
      <c r="H23" s="37">
        <f>ROUND(H22,2)*D3</f>
        <v>28200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31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32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33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34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35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36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37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1.6215277777777799" bottom="0.78749999999999998" header="0.51180555555555496" footer="0.51180555555555496"/>
  <pageSetup paperSize="9" scale="92" firstPageNumber="0" orientation="landscape" horizontalDpi="300" verticalDpi="300" r:id="rId1"/>
  <headerFooter>
    <oddHeader>&amp;CTRIBUNAL REGIONAL ELEITORAL DA BAHIA
Seção de Análise e Aquisições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F31" sqref="F31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80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81</v>
      </c>
      <c r="C3" s="10" t="s">
        <v>82</v>
      </c>
      <c r="D3" s="9">
        <v>250</v>
      </c>
      <c r="E3" s="8">
        <f>IF(C20&lt;=25%,D20,MIN(E20:F20))</f>
        <v>5.78</v>
      </c>
      <c r="F3" s="8">
        <f>MIN(H3:H17)</f>
        <v>4.26</v>
      </c>
      <c r="G3" s="19" t="s">
        <v>83</v>
      </c>
      <c r="H3" s="20">
        <v>4.26</v>
      </c>
      <c r="I3" s="21" t="str">
        <f t="shared" ref="I3:I17" si="0">IF(H3="","",(IF($C$20&lt;25%,"N/A",IF(H3&lt;=($D$20+$A$20),H3,"Descartado"))))</f>
        <v>N/A</v>
      </c>
    </row>
    <row r="4" spans="1:9" x14ac:dyDescent="0.2">
      <c r="A4" s="12"/>
      <c r="B4" s="11"/>
      <c r="C4" s="10"/>
      <c r="D4" s="9"/>
      <c r="E4" s="8"/>
      <c r="F4" s="8"/>
      <c r="G4" s="19" t="s">
        <v>84</v>
      </c>
      <c r="H4" s="20">
        <v>4.5</v>
      </c>
      <c r="I4" s="21" t="str">
        <f t="shared" si="0"/>
        <v>N/A</v>
      </c>
    </row>
    <row r="5" spans="1:9" x14ac:dyDescent="0.2">
      <c r="A5" s="12"/>
      <c r="B5" s="11"/>
      <c r="C5" s="10"/>
      <c r="D5" s="9"/>
      <c r="E5" s="8"/>
      <c r="F5" s="8"/>
      <c r="G5" s="19" t="s">
        <v>85</v>
      </c>
      <c r="H5" s="20">
        <v>4.9000000000000004</v>
      </c>
      <c r="I5" s="21" t="str">
        <f t="shared" si="0"/>
        <v>N/A</v>
      </c>
    </row>
    <row r="6" spans="1:9" x14ac:dyDescent="0.2">
      <c r="A6" s="12"/>
      <c r="B6" s="11"/>
      <c r="C6" s="10"/>
      <c r="D6" s="9"/>
      <c r="E6" s="8"/>
      <c r="F6" s="8"/>
      <c r="G6" s="19" t="s">
        <v>86</v>
      </c>
      <c r="H6" s="20">
        <v>5.4</v>
      </c>
      <c r="I6" s="21" t="str">
        <f t="shared" si="0"/>
        <v>N/A</v>
      </c>
    </row>
    <row r="7" spans="1:9" x14ac:dyDescent="0.2">
      <c r="A7" s="12"/>
      <c r="B7" s="11"/>
      <c r="C7" s="10"/>
      <c r="D7" s="9"/>
      <c r="E7" s="8"/>
      <c r="F7" s="8"/>
      <c r="G7" s="19" t="s">
        <v>87</v>
      </c>
      <c r="H7" s="20">
        <v>5.83</v>
      </c>
      <c r="I7" s="21" t="str">
        <f t="shared" si="0"/>
        <v>N/A</v>
      </c>
    </row>
    <row r="8" spans="1:9" x14ac:dyDescent="0.2">
      <c r="A8" s="12"/>
      <c r="B8" s="11"/>
      <c r="C8" s="10"/>
      <c r="D8" s="9"/>
      <c r="E8" s="8"/>
      <c r="F8" s="8"/>
      <c r="G8" s="19" t="s">
        <v>88</v>
      </c>
      <c r="H8" s="20">
        <v>6.5</v>
      </c>
      <c r="I8" s="21" t="str">
        <f t="shared" si="0"/>
        <v>N/A</v>
      </c>
    </row>
    <row r="9" spans="1:9" x14ac:dyDescent="0.2">
      <c r="A9" s="12"/>
      <c r="B9" s="11"/>
      <c r="C9" s="10"/>
      <c r="D9" s="9"/>
      <c r="E9" s="8"/>
      <c r="F9" s="8"/>
      <c r="G9" s="19" t="s">
        <v>89</v>
      </c>
      <c r="H9" s="20">
        <v>7.34</v>
      </c>
      <c r="I9" s="21" t="str">
        <f t="shared" si="0"/>
        <v>N/A</v>
      </c>
    </row>
    <row r="10" spans="1:9" x14ac:dyDescent="0.2">
      <c r="A10" s="12"/>
      <c r="B10" s="11"/>
      <c r="C10" s="10"/>
      <c r="D10" s="9"/>
      <c r="E10" s="8"/>
      <c r="F10" s="8"/>
      <c r="G10" s="19" t="s">
        <v>90</v>
      </c>
      <c r="H10" s="20">
        <v>7.5</v>
      </c>
      <c r="I10" s="21" t="str">
        <f t="shared" si="0"/>
        <v>N/A</v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22</v>
      </c>
      <c r="B19" s="18" t="s">
        <v>23</v>
      </c>
      <c r="C19" s="17" t="s">
        <v>24</v>
      </c>
      <c r="D19" s="29" t="s">
        <v>25</v>
      </c>
      <c r="E19" s="30" t="s">
        <v>26</v>
      </c>
      <c r="F19" s="29" t="s">
        <v>27</v>
      </c>
      <c r="G19" s="7" t="s">
        <v>28</v>
      </c>
      <c r="H19" s="7"/>
      <c r="I19" s="31"/>
    </row>
    <row r="20" spans="1:11" x14ac:dyDescent="0.2">
      <c r="A20" s="32">
        <f>IF(B20&lt;2,"N/A",(STDEV(H3:H17)))</f>
        <v>1.2409954241886365</v>
      </c>
      <c r="B20" s="32">
        <f>COUNT(H3:H17)</f>
        <v>8</v>
      </c>
      <c r="C20" s="33">
        <f>IF(B20&lt;2,"N/A",(A20/D20))</f>
        <v>0.21470509069007551</v>
      </c>
      <c r="D20" s="34">
        <f>ROUND(AVERAGE(H3:H17),2)</f>
        <v>5.78</v>
      </c>
      <c r="E20" s="35" t="str">
        <f>IFERROR(ROUND(IF(B20&lt;2,"N/A",(IF(C20&lt;=25%,"N/A",AVERAGE(I3:I17)))),2),"N/A")</f>
        <v>N/A</v>
      </c>
      <c r="F20" s="35">
        <f>ROUND(MEDIAN(H3:H17),2)</f>
        <v>5.62</v>
      </c>
      <c r="G20" s="36" t="str">
        <f>INDEX(G3:G17,MATCH(H20,H3:H17,0))</f>
        <v>COBEL - COMERCIO DE BEBIDAS EIRELI</v>
      </c>
      <c r="H20" s="37">
        <f>MIN(H3:H17)</f>
        <v>4.26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29</v>
      </c>
      <c r="H22" s="45">
        <f>IF(C20&lt;=25%,D20,MIN(E20:F20))</f>
        <v>5.78</v>
      </c>
    </row>
    <row r="23" spans="1:11" x14ac:dyDescent="0.2">
      <c r="B23" s="38"/>
      <c r="C23" s="38"/>
      <c r="D23" s="6"/>
      <c r="E23" s="6"/>
      <c r="F23" s="46"/>
      <c r="G23" s="17" t="s">
        <v>30</v>
      </c>
      <c r="H23" s="37">
        <f>ROUND(H22,2)*D3</f>
        <v>1445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31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32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33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34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35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36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37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1.6215277777777799" bottom="0.78749999999999998" header="0.51180555555555496" footer="0.51180555555555496"/>
  <pageSetup paperSize="9" scale="92" firstPageNumber="0" orientation="landscape" horizontalDpi="300" verticalDpi="300" r:id="rId1"/>
  <headerFooter>
    <oddHeader>&amp;CTRIBUNAL REGIONAL ELEITORAL DA BAHIA
Seção de Análise e Aquisições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F31" sqref="F31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91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92</v>
      </c>
      <c r="C3" s="10" t="s">
        <v>70</v>
      </c>
      <c r="D3" s="9">
        <v>600</v>
      </c>
      <c r="E3" s="8">
        <f>IF(C20&lt;=25%,D20,MIN(E20:F20))</f>
        <v>0.9</v>
      </c>
      <c r="F3" s="8">
        <f>MIN(H3:H17)</f>
        <v>0.65</v>
      </c>
      <c r="G3" s="19" t="s">
        <v>93</v>
      </c>
      <c r="H3" s="20">
        <v>0.65</v>
      </c>
      <c r="I3" s="21">
        <f t="shared" ref="I3:I17" si="0">IF(H3="","",(IF($C$20&lt;25%,"N/A",IF(H3&lt;=($D$20+$A$20),H3,"Descartado"))))</f>
        <v>0.65</v>
      </c>
    </row>
    <row r="4" spans="1:9" x14ac:dyDescent="0.2">
      <c r="A4" s="12"/>
      <c r="B4" s="11"/>
      <c r="C4" s="10"/>
      <c r="D4" s="9"/>
      <c r="E4" s="8"/>
      <c r="F4" s="8"/>
      <c r="G4" s="19" t="s">
        <v>94</v>
      </c>
      <c r="H4" s="20">
        <v>0.82</v>
      </c>
      <c r="I4" s="21">
        <f t="shared" si="0"/>
        <v>0.82</v>
      </c>
    </row>
    <row r="5" spans="1:9" x14ac:dyDescent="0.2">
      <c r="A5" s="12"/>
      <c r="B5" s="11"/>
      <c r="C5" s="10"/>
      <c r="D5" s="9"/>
      <c r="E5" s="8"/>
      <c r="F5" s="8"/>
      <c r="G5" s="19" t="s">
        <v>95</v>
      </c>
      <c r="H5" s="20">
        <v>1.59</v>
      </c>
      <c r="I5" s="21" t="str">
        <f t="shared" si="0"/>
        <v>Descartado</v>
      </c>
    </row>
    <row r="6" spans="1:9" x14ac:dyDescent="0.2">
      <c r="A6" s="12"/>
      <c r="B6" s="11"/>
      <c r="C6" s="10"/>
      <c r="D6" s="9"/>
      <c r="E6" s="8"/>
      <c r="F6" s="8"/>
      <c r="G6" s="19" t="s">
        <v>96</v>
      </c>
      <c r="H6" s="20">
        <v>1.18</v>
      </c>
      <c r="I6" s="21">
        <f t="shared" si="0"/>
        <v>1.18</v>
      </c>
    </row>
    <row r="7" spans="1:9" x14ac:dyDescent="0.2">
      <c r="A7" s="12"/>
      <c r="B7" s="11"/>
      <c r="C7" s="10"/>
      <c r="D7" s="9"/>
      <c r="E7" s="8"/>
      <c r="F7" s="8"/>
      <c r="G7" s="19" t="s">
        <v>97</v>
      </c>
      <c r="H7" s="20">
        <v>0.89</v>
      </c>
      <c r="I7" s="21">
        <f t="shared" si="0"/>
        <v>0.89</v>
      </c>
    </row>
    <row r="8" spans="1:9" x14ac:dyDescent="0.2">
      <c r="A8" s="12"/>
      <c r="B8" s="11"/>
      <c r="C8" s="10"/>
      <c r="D8" s="9"/>
      <c r="E8" s="8"/>
      <c r="F8" s="8"/>
      <c r="G8" s="19" t="s">
        <v>98</v>
      </c>
      <c r="H8" s="20">
        <v>0.98</v>
      </c>
      <c r="I8" s="21">
        <f t="shared" si="0"/>
        <v>0.98</v>
      </c>
    </row>
    <row r="9" spans="1:9" x14ac:dyDescent="0.2">
      <c r="A9" s="12"/>
      <c r="B9" s="11"/>
      <c r="C9" s="10"/>
      <c r="D9" s="9"/>
      <c r="E9" s="8"/>
      <c r="F9" s="8"/>
      <c r="G9" s="19" t="s">
        <v>21</v>
      </c>
      <c r="H9" s="20">
        <v>1.49</v>
      </c>
      <c r="I9" s="21" t="str">
        <f t="shared" si="0"/>
        <v>Descartado</v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22</v>
      </c>
      <c r="B19" s="18" t="s">
        <v>23</v>
      </c>
      <c r="C19" s="17" t="s">
        <v>24</v>
      </c>
      <c r="D19" s="29" t="s">
        <v>25</v>
      </c>
      <c r="E19" s="30" t="s">
        <v>26</v>
      </c>
      <c r="F19" s="29" t="s">
        <v>27</v>
      </c>
      <c r="G19" s="7" t="s">
        <v>28</v>
      </c>
      <c r="H19" s="7"/>
      <c r="I19" s="31"/>
    </row>
    <row r="20" spans="1:11" x14ac:dyDescent="0.2">
      <c r="A20" s="32">
        <f>IF(B20&lt;2,"N/A",(STDEV(H3:H17)))</f>
        <v>0.35037394989054876</v>
      </c>
      <c r="B20" s="32">
        <f>COUNT(H3:H17)</f>
        <v>7</v>
      </c>
      <c r="C20" s="33">
        <f>IF(B20&lt;2,"N/A",(A20/D20))</f>
        <v>0.32144399072527408</v>
      </c>
      <c r="D20" s="34">
        <f>ROUND(AVERAGE(H3:H17),2)</f>
        <v>1.0900000000000001</v>
      </c>
      <c r="E20" s="35">
        <f>IFERROR(ROUND(IF(B20&lt;2,"N/A",(IF(C20&lt;=25%,"N/A",AVERAGE(I3:I17)))),2),"N/A")</f>
        <v>0.9</v>
      </c>
      <c r="F20" s="35">
        <f>ROUND(MEDIAN(H3:H17),2)</f>
        <v>0.98</v>
      </c>
      <c r="G20" s="36" t="str">
        <f>INDEX(G3:G17,MATCH(H20,H3:H17,0))</f>
        <v>LUCIANA C. R. POTON - LARA FRUT POLPAS DE FRUTA</v>
      </c>
      <c r="H20" s="37">
        <f>MIN(H3:H17)</f>
        <v>0.65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29</v>
      </c>
      <c r="H22" s="45">
        <f>IF(C20&lt;=25%,D20,MIN(E20:F20))</f>
        <v>0.9</v>
      </c>
    </row>
    <row r="23" spans="1:11" x14ac:dyDescent="0.2">
      <c r="B23" s="38"/>
      <c r="C23" s="38"/>
      <c r="D23" s="6"/>
      <c r="E23" s="6"/>
      <c r="F23" s="46"/>
      <c r="G23" s="17" t="s">
        <v>30</v>
      </c>
      <c r="H23" s="37">
        <f>ROUND(H22,2)*D3</f>
        <v>540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31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32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33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34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35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36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37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1.6215277777777799" bottom="0.78749999999999998" header="0.51180555555555496" footer="0.51180555555555496"/>
  <pageSetup paperSize="9" scale="92" firstPageNumber="0" orientation="landscape" horizontalDpi="300" verticalDpi="300" r:id="rId1"/>
  <headerFooter>
    <oddHeader>&amp;CTRIBUNAL REGIONAL ELEITORAL DA BAHIA
Seção de Análise e Aquisições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F31" sqref="F31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99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100</v>
      </c>
      <c r="C3" s="10" t="s">
        <v>70</v>
      </c>
      <c r="D3" s="9">
        <v>600</v>
      </c>
      <c r="E3" s="8">
        <f>IF(C20&lt;=25%,D20,MIN(E20:F20))</f>
        <v>1.78</v>
      </c>
      <c r="F3" s="8">
        <f>MIN(H3:H17)</f>
        <v>0.89</v>
      </c>
      <c r="G3" s="19" t="s">
        <v>95</v>
      </c>
      <c r="H3" s="20">
        <v>2.4900000000000002</v>
      </c>
      <c r="I3" s="21">
        <f t="shared" ref="I3:I17" si="0">IF(H3="","",(IF($C$20&lt;25%,"N/A",IF(H3&lt;=($D$20+$A$20),H3,"Descartado"))))</f>
        <v>2.4900000000000002</v>
      </c>
    </row>
    <row r="4" spans="1:9" x14ac:dyDescent="0.2">
      <c r="A4" s="12"/>
      <c r="B4" s="11"/>
      <c r="C4" s="10"/>
      <c r="D4" s="9"/>
      <c r="E4" s="8"/>
      <c r="F4" s="8"/>
      <c r="G4" s="19" t="s">
        <v>97</v>
      </c>
      <c r="H4" s="20">
        <v>0.89</v>
      </c>
      <c r="I4" s="21">
        <f t="shared" si="0"/>
        <v>0.89</v>
      </c>
    </row>
    <row r="5" spans="1:9" x14ac:dyDescent="0.2">
      <c r="A5" s="12"/>
      <c r="B5" s="11"/>
      <c r="C5" s="10"/>
      <c r="D5" s="9"/>
      <c r="E5" s="8"/>
      <c r="F5" s="8"/>
      <c r="G5" s="19" t="s">
        <v>101</v>
      </c>
      <c r="H5" s="20">
        <v>2.99</v>
      </c>
      <c r="I5" s="21" t="str">
        <f t="shared" si="0"/>
        <v>Descartado</v>
      </c>
    </row>
    <row r="6" spans="1:9" x14ac:dyDescent="0.2">
      <c r="A6" s="12"/>
      <c r="B6" s="11"/>
      <c r="C6" s="10"/>
      <c r="D6" s="9"/>
      <c r="E6" s="8"/>
      <c r="F6" s="8"/>
      <c r="G6" s="19" t="s">
        <v>102</v>
      </c>
      <c r="H6" s="20">
        <v>1.97</v>
      </c>
      <c r="I6" s="21">
        <f t="shared" si="0"/>
        <v>1.97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22</v>
      </c>
      <c r="B19" s="18" t="s">
        <v>23</v>
      </c>
      <c r="C19" s="17" t="s">
        <v>24</v>
      </c>
      <c r="D19" s="29" t="s">
        <v>25</v>
      </c>
      <c r="E19" s="30" t="s">
        <v>26</v>
      </c>
      <c r="F19" s="29" t="s">
        <v>27</v>
      </c>
      <c r="G19" s="7" t="s">
        <v>28</v>
      </c>
      <c r="H19" s="7"/>
      <c r="I19" s="31"/>
    </row>
    <row r="20" spans="1:11" x14ac:dyDescent="0.2">
      <c r="A20" s="32">
        <f>IF(B20&lt;2,"N/A",(STDEV(H3:H17)))</f>
        <v>0.89894382471876311</v>
      </c>
      <c r="B20" s="32">
        <f>COUNT(H3:H17)</f>
        <v>4</v>
      </c>
      <c r="C20" s="33">
        <f>IF(B20&lt;2,"N/A",(A20/D20))</f>
        <v>0.43011666254486275</v>
      </c>
      <c r="D20" s="34">
        <f>ROUND(AVERAGE(H3:H17),2)</f>
        <v>2.09</v>
      </c>
      <c r="E20" s="35">
        <f>IFERROR(ROUND(IF(B20&lt;2,"N/A",(IF(C20&lt;=25%,"N/A",AVERAGE(I3:I17)))),2),"N/A")</f>
        <v>1.78</v>
      </c>
      <c r="F20" s="35">
        <f>ROUND(MEDIAN(H3:H17),2)</f>
        <v>2.23</v>
      </c>
      <c r="G20" s="36" t="str">
        <f>INDEX(G3:G17,MATCH(H20,H3:H17,0))</f>
        <v>HIPERIDEAL</v>
      </c>
      <c r="H20" s="37">
        <f>MIN(H3:H17)</f>
        <v>0.89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29</v>
      </c>
      <c r="H22" s="45">
        <f>IF(C20&lt;=25%,D20,MIN(E20:F20))</f>
        <v>1.78</v>
      </c>
    </row>
    <row r="23" spans="1:11" x14ac:dyDescent="0.2">
      <c r="B23" s="38"/>
      <c r="C23" s="38"/>
      <c r="D23" s="6"/>
      <c r="E23" s="6"/>
      <c r="F23" s="46"/>
      <c r="G23" s="17" t="s">
        <v>30</v>
      </c>
      <c r="H23" s="37">
        <f>ROUND(H22,2)*D3</f>
        <v>1068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31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32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33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34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35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36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37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1.6215277777777799" bottom="0.78749999999999998" header="0.51180555555555496" footer="0.51180555555555496"/>
  <pageSetup paperSize="9" scale="92" firstPageNumber="0" orientation="landscape" horizontalDpi="300" verticalDpi="300" r:id="rId1"/>
  <headerFooter>
    <oddHeader>&amp;CTRIBUNAL REGIONAL ELEITORAL DA BAHIA
Seção de Análise e Aquisições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F31" sqref="F31"/>
    </sheetView>
  </sheetViews>
  <sheetFormatPr defaultColWidth="9.140625" defaultRowHeight="12.75" x14ac:dyDescent="0.2"/>
  <cols>
    <col min="1" max="1" width="11.85546875" style="14" customWidth="1"/>
    <col min="2" max="2" width="28.5703125" style="14" customWidth="1"/>
    <col min="3" max="6" width="12.7109375" style="14" customWidth="1"/>
    <col min="7" max="7" width="33.5703125" style="14" customWidth="1"/>
    <col min="8" max="9" width="12.7109375" style="14" customWidth="1"/>
    <col min="10" max="11" width="10.28515625" style="14" customWidth="1"/>
    <col min="12" max="1024" width="9.140625" style="14"/>
  </cols>
  <sheetData>
    <row r="1" spans="1:9" ht="15.75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</row>
    <row r="2" spans="1:9" ht="25.5" x14ac:dyDescent="0.2">
      <c r="A2" s="12" t="s">
        <v>103</v>
      </c>
      <c r="B2" s="15" t="s">
        <v>2</v>
      </c>
      <c r="C2" s="15" t="s">
        <v>3</v>
      </c>
      <c r="D2" s="15" t="s">
        <v>4</v>
      </c>
      <c r="E2" s="16" t="s">
        <v>5</v>
      </c>
      <c r="F2" s="16" t="s">
        <v>6</v>
      </c>
      <c r="G2" s="15" t="s">
        <v>7</v>
      </c>
      <c r="H2" s="17" t="s">
        <v>8</v>
      </c>
      <c r="I2" s="18" t="s">
        <v>9</v>
      </c>
    </row>
    <row r="3" spans="1:9" ht="12.75" customHeight="1" x14ac:dyDescent="0.2">
      <c r="A3" s="12"/>
      <c r="B3" s="11" t="s">
        <v>104</v>
      </c>
      <c r="C3" s="10" t="s">
        <v>70</v>
      </c>
      <c r="D3" s="9">
        <v>600</v>
      </c>
      <c r="E3" s="8">
        <f>IF(C20&lt;=25%,D20,MIN(E20:F20))</f>
        <v>1.1599999999999999</v>
      </c>
      <c r="F3" s="8">
        <f>MIN(H3:H17)</f>
        <v>0.89</v>
      </c>
      <c r="G3" s="19" t="s">
        <v>95</v>
      </c>
      <c r="H3" s="20">
        <v>1.55</v>
      </c>
      <c r="I3" s="21">
        <f t="shared" ref="I3:I17" si="0">IF(H3="","",(IF($C$20&lt;25%,"N/A",IF(H3&lt;=($D$20+$A$20),H3,"Descartado"))))</f>
        <v>1.55</v>
      </c>
    </row>
    <row r="4" spans="1:9" x14ac:dyDescent="0.2">
      <c r="A4" s="12"/>
      <c r="B4" s="11"/>
      <c r="C4" s="10"/>
      <c r="D4" s="9"/>
      <c r="E4" s="8"/>
      <c r="F4" s="8"/>
      <c r="G4" s="19" t="s">
        <v>105</v>
      </c>
      <c r="H4" s="20">
        <v>1.79</v>
      </c>
      <c r="I4" s="21" t="str">
        <f t="shared" si="0"/>
        <v>Descartado</v>
      </c>
    </row>
    <row r="5" spans="1:9" x14ac:dyDescent="0.2">
      <c r="A5" s="12"/>
      <c r="B5" s="11"/>
      <c r="C5" s="10"/>
      <c r="D5" s="9"/>
      <c r="E5" s="8"/>
      <c r="F5" s="8"/>
      <c r="G5" s="19" t="s">
        <v>97</v>
      </c>
      <c r="H5" s="20">
        <v>0.89</v>
      </c>
      <c r="I5" s="21">
        <f t="shared" si="0"/>
        <v>0.89</v>
      </c>
    </row>
    <row r="6" spans="1:9" x14ac:dyDescent="0.2">
      <c r="A6" s="12"/>
      <c r="B6" s="11"/>
      <c r="C6" s="10"/>
      <c r="D6" s="9"/>
      <c r="E6" s="8"/>
      <c r="F6" s="8"/>
      <c r="G6" s="19" t="s">
        <v>102</v>
      </c>
      <c r="H6" s="20">
        <v>1.03</v>
      </c>
      <c r="I6" s="21">
        <f t="shared" si="0"/>
        <v>1.03</v>
      </c>
    </row>
    <row r="7" spans="1:9" x14ac:dyDescent="0.2">
      <c r="A7" s="12"/>
      <c r="B7" s="11"/>
      <c r="C7" s="10"/>
      <c r="D7" s="9"/>
      <c r="E7" s="8"/>
      <c r="F7" s="8"/>
      <c r="G7" s="19"/>
      <c r="H7" s="20"/>
      <c r="I7" s="21" t="str">
        <f t="shared" si="0"/>
        <v/>
      </c>
    </row>
    <row r="8" spans="1:9" x14ac:dyDescent="0.2">
      <c r="A8" s="12"/>
      <c r="B8" s="11"/>
      <c r="C8" s="10"/>
      <c r="D8" s="9"/>
      <c r="E8" s="8"/>
      <c r="F8" s="8"/>
      <c r="G8" s="19"/>
      <c r="H8" s="20"/>
      <c r="I8" s="21" t="str">
        <f t="shared" si="0"/>
        <v/>
      </c>
    </row>
    <row r="9" spans="1:9" x14ac:dyDescent="0.2">
      <c r="A9" s="12"/>
      <c r="B9" s="11"/>
      <c r="C9" s="10"/>
      <c r="D9" s="9"/>
      <c r="E9" s="8"/>
      <c r="F9" s="8"/>
      <c r="G9" s="19"/>
      <c r="H9" s="20"/>
      <c r="I9" s="21" t="str">
        <f t="shared" si="0"/>
        <v/>
      </c>
    </row>
    <row r="10" spans="1:9" x14ac:dyDescent="0.2">
      <c r="A10" s="12"/>
      <c r="B10" s="11"/>
      <c r="C10" s="10"/>
      <c r="D10" s="9"/>
      <c r="E10" s="8"/>
      <c r="F10" s="8"/>
      <c r="G10" s="19"/>
      <c r="H10" s="20"/>
      <c r="I10" s="21" t="str">
        <f t="shared" si="0"/>
        <v/>
      </c>
    </row>
    <row r="11" spans="1:9" x14ac:dyDescent="0.2">
      <c r="A11" s="12"/>
      <c r="B11" s="11"/>
      <c r="C11" s="10"/>
      <c r="D11" s="9"/>
      <c r="E11" s="8"/>
      <c r="F11" s="8"/>
      <c r="G11" s="19"/>
      <c r="H11" s="20"/>
      <c r="I11" s="21" t="str">
        <f t="shared" si="0"/>
        <v/>
      </c>
    </row>
    <row r="12" spans="1:9" x14ac:dyDescent="0.2">
      <c r="A12" s="12"/>
      <c r="B12" s="11"/>
      <c r="C12" s="10"/>
      <c r="D12" s="9"/>
      <c r="E12" s="8"/>
      <c r="F12" s="8"/>
      <c r="G12" s="19"/>
      <c r="H12" s="20"/>
      <c r="I12" s="21" t="str">
        <f t="shared" si="0"/>
        <v/>
      </c>
    </row>
    <row r="13" spans="1:9" x14ac:dyDescent="0.2">
      <c r="A13" s="12"/>
      <c r="B13" s="11"/>
      <c r="C13" s="10"/>
      <c r="D13" s="9"/>
      <c r="E13" s="8"/>
      <c r="F13" s="8"/>
      <c r="G13" s="19"/>
      <c r="H13" s="20"/>
      <c r="I13" s="21" t="str">
        <f t="shared" si="0"/>
        <v/>
      </c>
    </row>
    <row r="14" spans="1:9" x14ac:dyDescent="0.2">
      <c r="A14" s="12"/>
      <c r="B14" s="11"/>
      <c r="C14" s="10"/>
      <c r="D14" s="9"/>
      <c r="E14" s="8"/>
      <c r="F14" s="8"/>
      <c r="G14" s="19"/>
      <c r="H14" s="20"/>
      <c r="I14" s="21" t="str">
        <f t="shared" si="0"/>
        <v/>
      </c>
    </row>
    <row r="15" spans="1:9" x14ac:dyDescent="0.2">
      <c r="A15" s="12"/>
      <c r="B15" s="11"/>
      <c r="C15" s="10"/>
      <c r="D15" s="9"/>
      <c r="E15" s="8"/>
      <c r="F15" s="8"/>
      <c r="G15" s="19"/>
      <c r="H15" s="20"/>
      <c r="I15" s="21" t="str">
        <f t="shared" si="0"/>
        <v/>
      </c>
    </row>
    <row r="16" spans="1:9" x14ac:dyDescent="0.2">
      <c r="A16" s="12"/>
      <c r="B16" s="11"/>
      <c r="C16" s="10"/>
      <c r="D16" s="9"/>
      <c r="E16" s="8"/>
      <c r="F16" s="8"/>
      <c r="G16" s="19"/>
      <c r="H16" s="20"/>
      <c r="I16" s="21" t="str">
        <f t="shared" si="0"/>
        <v/>
      </c>
    </row>
    <row r="17" spans="1:11" x14ac:dyDescent="0.2">
      <c r="A17" s="12"/>
      <c r="B17" s="11"/>
      <c r="C17" s="10"/>
      <c r="D17" s="9"/>
      <c r="E17" s="8"/>
      <c r="F17" s="8"/>
      <c r="G17" s="19"/>
      <c r="H17" s="20"/>
      <c r="I17" s="21" t="str">
        <f t="shared" si="0"/>
        <v/>
      </c>
    </row>
    <row r="18" spans="1:11" x14ac:dyDescent="0.2">
      <c r="A18" s="22"/>
      <c r="B18" s="23"/>
      <c r="C18" s="24"/>
      <c r="D18" s="24"/>
      <c r="E18" s="25"/>
      <c r="F18" s="25"/>
      <c r="G18" s="26"/>
      <c r="H18" s="26"/>
      <c r="I18" s="27"/>
      <c r="J18" s="28"/>
      <c r="K18" s="28"/>
    </row>
    <row r="19" spans="1:11" ht="25.5" x14ac:dyDescent="0.2">
      <c r="A19" s="18" t="s">
        <v>22</v>
      </c>
      <c r="B19" s="18" t="s">
        <v>23</v>
      </c>
      <c r="C19" s="17" t="s">
        <v>24</v>
      </c>
      <c r="D19" s="29" t="s">
        <v>25</v>
      </c>
      <c r="E19" s="30" t="s">
        <v>26</v>
      </c>
      <c r="F19" s="29" t="s">
        <v>27</v>
      </c>
      <c r="G19" s="7" t="s">
        <v>28</v>
      </c>
      <c r="H19" s="7"/>
      <c r="I19" s="31"/>
    </row>
    <row r="20" spans="1:11" x14ac:dyDescent="0.2">
      <c r="A20" s="32">
        <f>IF(B20&lt;2,"N/A",(STDEV(H3:H17)))</f>
        <v>0.42532340636273508</v>
      </c>
      <c r="B20" s="32">
        <f>COUNT(H3:H17)</f>
        <v>4</v>
      </c>
      <c r="C20" s="33">
        <f>IF(B20&lt;2,"N/A",(A20/D20))</f>
        <v>0.32221470178995082</v>
      </c>
      <c r="D20" s="34">
        <f>ROUND(AVERAGE(H3:H17),2)</f>
        <v>1.32</v>
      </c>
      <c r="E20" s="35">
        <f>IFERROR(ROUND(IF(B20&lt;2,"N/A",(IF(C20&lt;=25%,"N/A",AVERAGE(I3:I17)))),2),"N/A")</f>
        <v>1.1599999999999999</v>
      </c>
      <c r="F20" s="35">
        <f>ROUND(MEDIAN(H3:H17),2)</f>
        <v>1.29</v>
      </c>
      <c r="G20" s="36" t="str">
        <f>INDEX(G3:G17,MATCH(H20,H3:H17,0))</f>
        <v>HIPERIDEAL</v>
      </c>
      <c r="H20" s="37">
        <f>MIN(H3:H17)</f>
        <v>0.89</v>
      </c>
      <c r="I20" s="31"/>
    </row>
    <row r="21" spans="1:11" x14ac:dyDescent="0.2">
      <c r="A21" s="38"/>
      <c r="B21" s="31"/>
      <c r="C21" s="39"/>
      <c r="D21" s="39"/>
      <c r="E21" s="39"/>
      <c r="F21" s="39"/>
      <c r="G21" s="31"/>
      <c r="H21" s="40"/>
      <c r="I21" s="41"/>
      <c r="J21" s="41"/>
      <c r="K21" s="41"/>
    </row>
    <row r="22" spans="1:11" x14ac:dyDescent="0.2">
      <c r="B22" s="38"/>
      <c r="C22" s="38"/>
      <c r="D22" s="6"/>
      <c r="E22" s="6"/>
      <c r="F22" s="43"/>
      <c r="G22" s="44" t="s">
        <v>29</v>
      </c>
      <c r="H22" s="45">
        <f>IF(C20&lt;=25%,D20,MIN(E20:F20))</f>
        <v>1.1599999999999999</v>
      </c>
    </row>
    <row r="23" spans="1:11" x14ac:dyDescent="0.2">
      <c r="B23" s="38"/>
      <c r="C23" s="38"/>
      <c r="D23" s="6"/>
      <c r="E23" s="6"/>
      <c r="F23" s="46"/>
      <c r="G23" s="17" t="s">
        <v>30</v>
      </c>
      <c r="H23" s="37">
        <f>ROUND(H22,2)*D3</f>
        <v>696</v>
      </c>
    </row>
    <row r="24" spans="1:11" x14ac:dyDescent="0.2">
      <c r="B24" s="42"/>
      <c r="C24" s="42"/>
      <c r="D24" s="31"/>
      <c r="E24" s="31"/>
    </row>
    <row r="26" spans="1:11" ht="12.75" customHeight="1" x14ac:dyDescent="0.2">
      <c r="A26" s="5" t="s">
        <v>31</v>
      </c>
      <c r="B26" s="5"/>
      <c r="C26" s="5"/>
      <c r="D26" s="5"/>
      <c r="E26" s="5"/>
      <c r="F26" s="5"/>
      <c r="G26" s="5"/>
      <c r="H26" s="5"/>
      <c r="I26" s="5"/>
    </row>
    <row r="27" spans="1:11" ht="12.75" customHeight="1" x14ac:dyDescent="0.2">
      <c r="A27" s="5" t="s">
        <v>32</v>
      </c>
      <c r="B27" s="5"/>
      <c r="C27" s="5"/>
      <c r="D27" s="5"/>
      <c r="E27" s="5"/>
      <c r="F27" s="5"/>
      <c r="G27" s="5"/>
      <c r="H27" s="5"/>
      <c r="I27" s="5"/>
    </row>
    <row r="28" spans="1:11" ht="12.75" customHeight="1" x14ac:dyDescent="0.2">
      <c r="A28" s="5" t="s">
        <v>33</v>
      </c>
      <c r="B28" s="5"/>
      <c r="C28" s="5"/>
      <c r="D28" s="5"/>
      <c r="E28" s="5"/>
      <c r="F28" s="5"/>
      <c r="G28" s="5"/>
      <c r="H28" s="5"/>
      <c r="I28" s="5"/>
    </row>
    <row r="29" spans="1:11" ht="12.75" customHeight="1" x14ac:dyDescent="0.2">
      <c r="A29" s="5" t="s">
        <v>34</v>
      </c>
      <c r="B29" s="5"/>
      <c r="C29" s="5"/>
      <c r="D29" s="5"/>
      <c r="E29" s="5"/>
      <c r="F29" s="5"/>
      <c r="G29" s="5"/>
      <c r="H29" s="5"/>
      <c r="I29" s="5"/>
    </row>
    <row r="30" spans="1:11" ht="12.75" customHeight="1" x14ac:dyDescent="0.2">
      <c r="A30" s="5" t="s">
        <v>35</v>
      </c>
      <c r="B30" s="5"/>
      <c r="C30" s="5"/>
      <c r="D30" s="5"/>
      <c r="E30" s="5"/>
      <c r="F30" s="5"/>
      <c r="G30" s="5"/>
      <c r="H30" s="5"/>
      <c r="I30" s="5"/>
    </row>
    <row r="31" spans="1:11" ht="12.75" customHeight="1" x14ac:dyDescent="0.2">
      <c r="A31" s="5" t="s">
        <v>36</v>
      </c>
      <c r="B31" s="5"/>
      <c r="C31" s="5"/>
      <c r="D31" s="5"/>
      <c r="E31" s="5"/>
      <c r="F31" s="5"/>
      <c r="G31" s="5"/>
      <c r="H31" s="5"/>
      <c r="I31" s="5"/>
    </row>
    <row r="32" spans="1:11" ht="24.75" customHeight="1" x14ac:dyDescent="0.2">
      <c r="A32" s="4" t="s">
        <v>37</v>
      </c>
      <c r="B32" s="4"/>
      <c r="C32" s="4"/>
      <c r="D32" s="4"/>
      <c r="E32" s="4"/>
      <c r="F32" s="4"/>
      <c r="G32" s="4"/>
      <c r="H32" s="4"/>
      <c r="I32" s="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1.6215277777777799" bottom="0.78749999999999998" header="0.51180555555555496" footer="0.51180555555555496"/>
  <pageSetup paperSize="9" scale="92" firstPageNumber="0" orientation="landscape" horizontalDpi="300" verticalDpi="300" r:id="rId1"/>
  <headerFooter>
    <oddHeader>&amp;CTRIBUNAL REGIONAL ELEITORAL DA BAHIA
Seção de Análise e Aquisições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4</vt:i4>
      </vt:variant>
    </vt:vector>
  </HeadingPairs>
  <TitlesOfParts>
    <vt:vector size="20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TOTAL</vt:lpstr>
      <vt:lpstr>menores</vt:lpstr>
      <vt:lpstr>menores!Area_de_impressao</vt:lpstr>
      <vt:lpstr>TOTAL!Area_de_impressao</vt:lpstr>
      <vt:lpstr>menores!Titulos_de_impressao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revision>5</cp:revision>
  <cp:lastPrinted>2020-12-17T15:18:36Z</cp:lastPrinted>
  <dcterms:created xsi:type="dcterms:W3CDTF">2019-01-16T20:04:04Z</dcterms:created>
  <dcterms:modified xsi:type="dcterms:W3CDTF">2021-01-20T21:55:44Z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